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tabRatio="599" activeTab="0"/>
  </bookViews>
  <sheets>
    <sheet name="1A. melléklet_BEVÉTEL_KIADÁS" sheetId="1" r:id="rId1"/>
    <sheet name="2.sz.m.Bevételek" sheetId="2" r:id="rId2"/>
    <sheet name="2.2.sz.mfelh.bev.részl" sheetId="3" r:id="rId3"/>
    <sheet name="3.2.sz.mfelh.bev.részl ÁFA külö" sheetId="4" state="hidden" r:id="rId4"/>
    <sheet name="3.Állami támogatás" sheetId="5" state="hidden" r:id="rId5"/>
    <sheet name="4.sz.m.Kiadások" sheetId="6" r:id="rId6"/>
    <sheet name="4.2.sz.m.felh.kiadás" sheetId="7" r:id="rId7"/>
    <sheet name="8.sz.Műk.c.átadott.pe. " sheetId="8" r:id="rId8"/>
  </sheets>
  <externalReferences>
    <externalReference r:id="rId11"/>
    <externalReference r:id="rId12"/>
  </externalReferences>
  <definedNames>
    <definedName name="_xlnm.Print_Titles" localSheetId="1">'2.sz.m.Bevételek'!$1:$4</definedName>
    <definedName name="_xlnm.Print_Area" localSheetId="0">'1A. melléklet_BEVÉTEL_KIADÁS'!$A$1:$L$42</definedName>
    <definedName name="_xlnm.Print_Area" localSheetId="2">'2.2.sz.mfelh.bev.részl'!$A$1:$I$23</definedName>
    <definedName name="_xlnm.Print_Area" localSheetId="1">'2.sz.m.Bevételek'!$A$1:$O$66</definedName>
    <definedName name="_xlnm.Print_Area" localSheetId="3">'3.2.sz.mfelh.bev.részl ÁFA külö'!$A$1:$H$32</definedName>
    <definedName name="_xlnm.Print_Area" localSheetId="6">'4.2.sz.m.felh.kiadás'!$A$1:$N$41</definedName>
    <definedName name="_xlnm.Print_Area" localSheetId="5">'4.sz.m.Kiadások'!$A$1:$K$45</definedName>
    <definedName name="_xlnm.Print_Area" localSheetId="7">'8.sz.Műk.c.átadott.pe. '!$B$1:$L$36</definedName>
  </definedNames>
  <calcPr fullCalcOnLoad="1"/>
</workbook>
</file>

<file path=xl/comments2.xml><?xml version="1.0" encoding="utf-8"?>
<comments xmlns="http://schemas.openxmlformats.org/spreadsheetml/2006/main">
  <authors>
    <author>fulopgyorgynemarika</author>
    <author>fulopgyorgyne</author>
  </authors>
  <commentList>
    <comment ref="C42" authorId="0">
      <text>
        <r>
          <rPr>
            <b/>
            <sz val="8"/>
            <rFont val="Tahoma"/>
            <family val="0"/>
          </rPr>
          <t>fulopgyorgynemarika:</t>
        </r>
        <r>
          <rPr>
            <sz val="8"/>
            <rFont val="Tahoma"/>
            <family val="0"/>
          </rPr>
          <t xml:space="preserve">
Közlekedési támogatás :250 eFt
Remeteszőllőstöl :320 eFt
</t>
        </r>
      </text>
    </comment>
    <comment ref="F15" authorId="1">
      <text>
        <r>
          <rPr>
            <b/>
            <sz val="8"/>
            <rFont val="Tahoma"/>
            <family val="0"/>
          </rPr>
          <t>fulopgyorgyne: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<sst xmlns="http://schemas.openxmlformats.org/spreadsheetml/2006/main" count="491" uniqueCount="414">
  <si>
    <t xml:space="preserve"> Vagyonalap :Ingatlan értékesítés utáni ÁFA befizetés</t>
  </si>
  <si>
    <t>Vízügyi építési alap bevételei</t>
  </si>
  <si>
    <t>Felhalmozási célú pénzeszköz átvétel összesen(+8+…11):</t>
  </si>
  <si>
    <t>Működési célú pénzeszköz átvétel</t>
  </si>
  <si>
    <t>Személyi juttatások</t>
  </si>
  <si>
    <t>Felújítás</t>
  </si>
  <si>
    <t>Fejlesztési céltartalék</t>
  </si>
  <si>
    <t>Megnevezés</t>
  </si>
  <si>
    <t>Intézményi működési bevételek</t>
  </si>
  <si>
    <t>Munkabér hitel felvétel</t>
  </si>
  <si>
    <t>Általános tartalék</t>
  </si>
  <si>
    <t>sorszám</t>
  </si>
  <si>
    <t>Felhalmozási célú pénzeszköz átadás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</si>
  <si>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</si>
  <si>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</si>
  <si>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</si>
  <si>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</si>
  <si>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</si>
  <si>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</si>
  <si>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</si>
  <si>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</si>
  <si>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</si>
  <si>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</si>
  <si>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</si>
  <si>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</si>
  <si>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</si>
  <si>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</si>
  <si>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</si>
  <si>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</si>
  <si>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</si>
  <si>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Saját működési bevételek</t>
  </si>
  <si>
    <t>Kamat bevétel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</si>
  <si>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</si>
  <si>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</si>
  <si>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</si>
  <si>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</si>
  <si>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</si>
  <si>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</si>
  <si>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</si>
  <si>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</si>
  <si>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</si>
  <si>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</si>
  <si>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Német Nemzetiségi Önkormányzat támogatása</t>
  </si>
  <si>
    <t>6.</t>
  </si>
  <si>
    <t>7.</t>
  </si>
  <si>
    <t>Működési célú hitelfelvétel</t>
  </si>
  <si>
    <t>8.</t>
  </si>
  <si>
    <t>MŰKÖDÉSI BEVÉTELEK ÖSSZESEN</t>
  </si>
  <si>
    <t>II.</t>
  </si>
  <si>
    <t>FELHALMOZÁSI ÉS TŐKE JELLEGŰ BEVÉTELEK</t>
  </si>
  <si>
    <t>Felhalmazási célú átvétel: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</si>
  <si>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</si>
  <si>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</si>
  <si>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</si>
  <si>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</si>
  <si>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</si>
  <si>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I</t>
  </si>
  <si>
    <t xml:space="preserve">MŰKÖDÉSI KIADÁSOK </t>
  </si>
  <si>
    <t xml:space="preserve">     Rendszeres személyi  juttatások</t>
  </si>
  <si>
    <t xml:space="preserve">     Nem rendszeres személyi juttatások</t>
  </si>
  <si>
    <t xml:space="preserve">     Állományba nem tartozók juttatásai</t>
  </si>
  <si>
    <t>Dologi kiadások</t>
  </si>
  <si>
    <t>Szociális ellátások</t>
  </si>
  <si>
    <t>Működési célú pénzeszköz átadás</t>
  </si>
  <si>
    <t>FELHALMOZÁSI KIADÁSOK:</t>
  </si>
  <si>
    <t>Beruházás</t>
  </si>
  <si>
    <t>FELHALMOZÁSI KIADÁSOK ÖSSZESEN (1……3):</t>
  </si>
  <si>
    <t>TARTALÉKOK:</t>
  </si>
  <si>
    <t xml:space="preserve"> Közműfejlesztés:</t>
  </si>
  <si>
    <t xml:space="preserve"> Vagyonalap :</t>
  </si>
  <si>
    <t xml:space="preserve"> Vízügyi építési alap :</t>
  </si>
  <si>
    <t>TARTALÉKOK ÖSSZESEN (1…….3):</t>
  </si>
  <si>
    <t>Fejlesztési célú hitel törlesztése</t>
  </si>
  <si>
    <t>EGYÉB FINANSZIROZÁSI KIADÁSOK</t>
  </si>
  <si>
    <t>KIADÁSOK MINDÖSSZESEN:</t>
  </si>
  <si>
    <t>ÁFA bevételek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</si>
  <si>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</si>
  <si>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</si>
  <si>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</si>
  <si>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</si>
  <si>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Hitelfelvételből</t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</si>
  <si>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</si>
  <si>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</si>
  <si>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</si>
  <si>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</si>
  <si>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</si>
  <si>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Kisegítő tevékenység</t>
  </si>
  <si>
    <t>Kiegészítő 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</si>
  <si>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</si>
  <si>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</si>
  <si>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</si>
  <si>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</si>
  <si>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</si>
  <si>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>2010.évi eredeti terv</t>
  </si>
  <si>
    <t xml:space="preserve">Intézményi térítési díjak, 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</si>
  <si>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</si>
  <si>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</si>
  <si>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</si>
  <si>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</si>
  <si>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</si>
  <si>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</si>
  <si>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</si>
  <si>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</si>
  <si>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OEP finanszírozás</t>
  </si>
  <si>
    <t>Pénzmaradvány bevétele (működési )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</si>
  <si>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</si>
  <si>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</si>
  <si>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</si>
  <si>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family val="0"/>
      </rPr>
      <t>Pályázatok</t>
    </r>
  </si>
  <si>
    <t>Pénzmaradvány bevétele:</t>
  </si>
  <si>
    <t>FELHALMOZÁSI ÉS TŐKE JELLEGŰ BEVÉTELEK ÖSSZESEN</t>
  </si>
  <si>
    <t>EGYÉB FINANSZIROZÁSI BEVÉTELEK</t>
  </si>
  <si>
    <t>BEVÉTELEK MINDÖSSZESEN(I+II+III)</t>
  </si>
  <si>
    <t>Élelmiszer beszerzés</t>
  </si>
  <si>
    <t>Vásárolt termékek és szolg.Áfa</t>
  </si>
  <si>
    <t>ÁFA befizetés</t>
  </si>
  <si>
    <t>Egyéb dologi kiadások</t>
  </si>
  <si>
    <t>Felhalmozási kiadások</t>
  </si>
  <si>
    <t xml:space="preserve">Álláshely </t>
  </si>
  <si>
    <t>Létszám fő:</t>
  </si>
  <si>
    <t>Közüzemi díjak</t>
  </si>
  <si>
    <t>Kamatkiadás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</si>
  <si>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</si>
  <si>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</si>
  <si>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</si>
  <si>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</si>
  <si>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</si>
  <si>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</si>
  <si>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 xml:space="preserve">Egyéb sajátos  bevételek : lakbér </t>
  </si>
  <si>
    <t>Vis.maior pályázati bevétel</t>
  </si>
  <si>
    <t>2011.évi eredeti terv</t>
  </si>
  <si>
    <t>Hivatal</t>
  </si>
  <si>
    <t>Felhalmozási bevételek</t>
  </si>
  <si>
    <t>Likvid hitel felvétel</t>
  </si>
  <si>
    <t>ÖSSZESEN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</si>
  <si>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</si>
  <si>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</si>
  <si>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</si>
  <si>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</si>
  <si>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</si>
  <si>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</si>
  <si>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</si>
  <si>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</si>
  <si>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</si>
  <si>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</si>
  <si>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</si>
  <si>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</si>
  <si>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</si>
  <si>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Előző évi műk. Célú pénzeszk. Átvétel alulfinanszírozás miatt</t>
  </si>
  <si>
    <t>2012.évi eredeti terv</t>
  </si>
  <si>
    <t xml:space="preserve">2011. évi e.i  </t>
  </si>
  <si>
    <t>2012.évi er. e.i.</t>
  </si>
  <si>
    <t>Összesen (eFt)</t>
  </si>
  <si>
    <t>összesen (eFt)</t>
  </si>
  <si>
    <t>Kiadások Összesen</t>
  </si>
  <si>
    <t>Végleges pénzeszközátadás</t>
  </si>
  <si>
    <t>Pénzeszköz átadás</t>
  </si>
  <si>
    <t>Intézményfinanszírozás</t>
  </si>
  <si>
    <t>Kisebbs.Önkormányzati tám.</t>
  </si>
  <si>
    <t>EU-s finanszírozás kiadásai</t>
  </si>
  <si>
    <t>Felújítási kiadások</t>
  </si>
  <si>
    <t>Pénzforg.nélküli kiadások</t>
  </si>
  <si>
    <t>Fejlesztési.c.hitel törlesztés</t>
  </si>
  <si>
    <t>Bevételek Össszesen</t>
  </si>
  <si>
    <t>Önkorm.sajátos működ.bevét.</t>
  </si>
  <si>
    <t>Támogatás, átvett pénzeszk.</t>
  </si>
  <si>
    <t>EU-s finanszírozás bevételei</t>
  </si>
  <si>
    <t>Felh.c.peszk.átvétel</t>
  </si>
  <si>
    <t>Pénzforg.nélküli bevételek</t>
  </si>
  <si>
    <t>Működési c. hitelfelvétel</t>
  </si>
  <si>
    <t>Fejlesztési.c.hitel felvétel</t>
  </si>
  <si>
    <t xml:space="preserve"> 2012. évi eredeti előirányzat</t>
  </si>
  <si>
    <t>31.</t>
  </si>
  <si>
    <t>32.</t>
  </si>
  <si>
    <t>33.</t>
  </si>
  <si>
    <t>34.</t>
  </si>
  <si>
    <t>35.</t>
  </si>
  <si>
    <t>36.</t>
  </si>
  <si>
    <t>Munkaadókat terhelő szociális adó</t>
  </si>
  <si>
    <t>Munkaadókat terh. Szociális adó</t>
  </si>
  <si>
    <t>Normatíva támogatás</t>
  </si>
  <si>
    <t>Intézményi finanszírozás</t>
  </si>
  <si>
    <t>Szociális kiadások</t>
  </si>
  <si>
    <t>Dologi és egyéb folyókiadások</t>
  </si>
  <si>
    <t>Normatíva átadás</t>
  </si>
  <si>
    <t>Egyéb működési célú pénzeszköz átadás</t>
  </si>
  <si>
    <t>Működési tartalék</t>
  </si>
  <si>
    <t>Egyéb müködési célú pénzeszköz átvétel (Remeteszőlőstől)</t>
  </si>
  <si>
    <t>Vagyon gazdálkodási műveletek bevételei</t>
  </si>
  <si>
    <t>Egyéb sajátos  bevételek :</t>
  </si>
  <si>
    <t>Egyéb bev. (temető, könyvtár, esküvő,közterület fogl.továbbszámlázott)</t>
  </si>
  <si>
    <t>Közúthasználati engedély</t>
  </si>
  <si>
    <t>Műk. Célú pénzeszközátvétel</t>
  </si>
  <si>
    <t>Halmozódásmentes (intézmény fin.nélkül)</t>
  </si>
  <si>
    <t>Normatíva átvétel</t>
  </si>
  <si>
    <t>Halmozódásmentes (intézmény fin. és normatíva átadás nélkül)</t>
  </si>
  <si>
    <t>NETTÓ</t>
  </si>
  <si>
    <t>ÁFA</t>
  </si>
  <si>
    <t>BRUTTÓ</t>
  </si>
  <si>
    <t>Kolozsvár tér 25.</t>
  </si>
  <si>
    <t>Általános Iskola elmaradt pályázati bevétel energetikai felúj.</t>
  </si>
  <si>
    <r>
      <t xml:space="preserve">Ber.c.tám.ért.Bev </t>
    </r>
    <r>
      <rPr>
        <b/>
        <sz val="8"/>
        <rFont val="Arial CE"/>
        <family val="0"/>
      </rPr>
      <t>(Bölcsöde)</t>
    </r>
  </si>
  <si>
    <r>
      <t xml:space="preserve">Ber.c.tám.ért.Bev </t>
    </r>
    <r>
      <rPr>
        <b/>
        <sz val="8"/>
        <rFont val="Arial CE"/>
        <family val="0"/>
      </rPr>
      <t>(Inkubátorház)</t>
    </r>
  </si>
  <si>
    <r>
      <t xml:space="preserve">Ber.c.tám.ért.Bev </t>
    </r>
    <r>
      <rPr>
        <b/>
        <sz val="8"/>
        <rFont val="Arial CE"/>
        <family val="0"/>
      </rPr>
      <t>(Biomassza)</t>
    </r>
  </si>
  <si>
    <r>
      <t xml:space="preserve">Ber.c.tám.ért.Bev </t>
    </r>
    <r>
      <rPr>
        <b/>
        <sz val="8"/>
        <rFont val="Arial CE"/>
        <family val="0"/>
      </rPr>
      <t>(Óvodabővítés-Kaszáló és Dózsa u.)</t>
    </r>
  </si>
  <si>
    <t>cím</t>
  </si>
  <si>
    <t>2012. eredeti terv</t>
  </si>
  <si>
    <t>Nettó</t>
  </si>
  <si>
    <t>áfa</t>
  </si>
  <si>
    <t>bruttó</t>
  </si>
  <si>
    <t>szakfeladat</t>
  </si>
  <si>
    <t>I. FELÚJÍTÁSOK</t>
  </si>
  <si>
    <t>Kolozsvár u-i híd</t>
  </si>
  <si>
    <t>Ravatalozó</t>
  </si>
  <si>
    <t>Római Kat. Templom kerítés fedlapok</t>
  </si>
  <si>
    <t>Víziközmű felújítás</t>
  </si>
  <si>
    <t>Felújítások összesen :</t>
  </si>
  <si>
    <t>II. BERUHÁZÁSOK</t>
  </si>
  <si>
    <t>Kossuth u. vízelvezető árok</t>
  </si>
  <si>
    <t>szirénarendszer</t>
  </si>
  <si>
    <t>Fő utca tervezés</t>
  </si>
  <si>
    <t>Sebestyén dombi játszótér új játékok</t>
  </si>
  <si>
    <t>térinformatikai rendszer</t>
  </si>
  <si>
    <t>Kálvária kápolna kerítés</t>
  </si>
  <si>
    <t>KEOP Energetika (Biomassza)</t>
  </si>
  <si>
    <t>Óvoda bővítés (Dózsa+Kaszáló)</t>
  </si>
  <si>
    <t>Bölcsöde+ védőnők elhelyezése</t>
  </si>
  <si>
    <t>Beruházások összesen:</t>
  </si>
  <si>
    <t>BERUHÁZÁS, FELÚJÍTÁS MINDÖSSZESEN</t>
  </si>
  <si>
    <t xml:space="preserve">                                                          </t>
  </si>
  <si>
    <t>sorsz.</t>
  </si>
  <si>
    <t>Támogatott megnevezése</t>
  </si>
  <si>
    <t>2011.évi</t>
  </si>
  <si>
    <t>2. sz. mód.</t>
  </si>
  <si>
    <t>Nagykovácsi Készenléti Szolgálat</t>
  </si>
  <si>
    <t>Iskola orvosi szolgálat</t>
  </si>
  <si>
    <t>Fejér György Alapítvány</t>
  </si>
  <si>
    <t>Nagykovácsi Sport Egyesület</t>
  </si>
  <si>
    <t>2012.évi</t>
  </si>
  <si>
    <t>eredeti</t>
  </si>
  <si>
    <t>Pilis-Buda-Zsámbék TKT (logopédiai szakszolgálat) Solymárnak fizetendő</t>
  </si>
  <si>
    <t>Ezüstkor Szociális Gondozó Központ</t>
  </si>
  <si>
    <t>Általános Iskola "tisztaszoftver"</t>
  </si>
  <si>
    <t>Óvoda felhalmozási kiadásai</t>
  </si>
  <si>
    <t>Nagykovácsi Alapfokú Művészeti Iskola</t>
  </si>
  <si>
    <t>Államháztartáson kívüli műk-i célú pénzeszköz átadás összesen   (1+..6):</t>
  </si>
  <si>
    <t>Államháztartáson belüli műk-i célú pénzeszköz átadás összesen   (1+..3):</t>
  </si>
  <si>
    <t>Átengedett központi adók (gépjárműadó)</t>
  </si>
  <si>
    <t>Mutató</t>
  </si>
  <si>
    <t xml:space="preserve">            2012. évi várható</t>
  </si>
  <si>
    <t>Jogcím</t>
  </si>
  <si>
    <t>Ft/mutató</t>
  </si>
  <si>
    <t>Összeg Ft</t>
  </si>
  <si>
    <t>Iskola</t>
  </si>
  <si>
    <t>Óvoda</t>
  </si>
  <si>
    <t>1. Települési önkormányzatok üzemeltetési, igazgatási, sport- és kulturális feladatai</t>
  </si>
  <si>
    <t>2. Körzeti igazgatási feladatok</t>
  </si>
  <si>
    <t xml:space="preserve">    b.) Építésügyi igazgatási feladatok</t>
  </si>
  <si>
    <t xml:space="preserve">    bb.) Kiegészítő hj. építésügyi ig. fel-hoz</t>
  </si>
  <si>
    <t>3. Lakott külterülettel kapcsolatos feladatok</t>
  </si>
  <si>
    <t>4. Lakkossági telep-i folyékony hull. kezelés</t>
  </si>
  <si>
    <t>5. Üdülőhelyi feladatok</t>
  </si>
  <si>
    <t>6. Pénzbeli és természetbeni szociális ellátás</t>
  </si>
  <si>
    <t>7. Szoc. és gyermekjóléti alapszolg. feladatai</t>
  </si>
  <si>
    <t xml:space="preserve">      a.) Családsegítés</t>
  </si>
  <si>
    <t xml:space="preserve">      b.) Gyermekjóléti szolgáltatás</t>
  </si>
  <si>
    <t xml:space="preserve">      c.) Otthonközeli ellátás </t>
  </si>
  <si>
    <t xml:space="preserve">         ca.) Szoc.étk.és Házi segíts.együtt (100%)</t>
  </si>
  <si>
    <t xml:space="preserve">         cc.) Szociális étkezés (25%)</t>
  </si>
  <si>
    <t xml:space="preserve">         cd.) Házi segítségnyújtás (75%)  </t>
  </si>
  <si>
    <t>8. Közoktatási alap hozzájárulások</t>
  </si>
  <si>
    <t>a.) Óvodai nevelés hozzájárulás</t>
  </si>
  <si>
    <t xml:space="preserve">      - 8 hónapra</t>
  </si>
  <si>
    <t>320 fő</t>
  </si>
  <si>
    <t xml:space="preserve">      - 4 hónapra</t>
  </si>
  <si>
    <t>310 fő</t>
  </si>
  <si>
    <t>b.). Iskolai oktatás hozzájárulás</t>
  </si>
  <si>
    <t xml:space="preserve">      - 8 hónapra  374 fő</t>
  </si>
  <si>
    <t xml:space="preserve">      - 4 hónapra  415 fő</t>
  </si>
  <si>
    <t xml:space="preserve">      - napközi foglalkozás  8 hó 207 fő</t>
  </si>
  <si>
    <t xml:space="preserve">      - napközis foglalkozás 4 hónap    217 fő  </t>
  </si>
  <si>
    <t>9. Kiegészítő hozzájárulás óvodai nev-hez, isk. oktatáshoz</t>
  </si>
  <si>
    <t xml:space="preserve">      a.) Sajátos nevelési igényű gyermekek</t>
  </si>
  <si>
    <t xml:space="preserve">           8 hónapra óvoda</t>
  </si>
  <si>
    <t xml:space="preserve">          4 hónapra óvoda</t>
  </si>
  <si>
    <t xml:space="preserve">      - 8 hónapra iskola</t>
  </si>
  <si>
    <t xml:space="preserve">      - 4 hónapra iskola</t>
  </si>
  <si>
    <t xml:space="preserve"> 10  Gyermek és ifjúságvédelemmel összefüggő juttatások</t>
  </si>
  <si>
    <t xml:space="preserve">      a.) Kedvezményes étkeztetés </t>
  </si>
  <si>
    <t xml:space="preserve">             - óvoda  (1-12 hó)</t>
  </si>
  <si>
    <t xml:space="preserve">             - iskola (1-12 hó)</t>
  </si>
  <si>
    <t xml:space="preserve">             - 5-7. évf. rendszeres gyvt-ben részesülő</t>
  </si>
  <si>
    <t xml:space="preserve">      b.) Tanulók tankönyvellátása</t>
  </si>
  <si>
    <t xml:space="preserve">             - Ingyenes tankönyvellátás</t>
  </si>
  <si>
    <t xml:space="preserve">             - általános tankönyhozzájárulás</t>
  </si>
  <si>
    <t>3. sz. melléklet összesen</t>
  </si>
  <si>
    <t>12. Egyes szociális feladatok kieg. támogatása</t>
  </si>
  <si>
    <t xml:space="preserve">        - Pedagógus továbképzés és szakvizsga ovi</t>
  </si>
  <si>
    <t xml:space="preserve">        - Pedagógu továbképzés és szakvizsga iskola</t>
  </si>
  <si>
    <t xml:space="preserve">         - Osztályfőnöki pótlék</t>
  </si>
  <si>
    <t xml:space="preserve">       - szakmai informatika  iskola</t>
  </si>
  <si>
    <t xml:space="preserve">          8 hónapra</t>
  </si>
  <si>
    <t xml:space="preserve">        - 4 hónapra</t>
  </si>
  <si>
    <t>8. sz. melléklet összesen</t>
  </si>
  <si>
    <t>3. sz. és 8. sz. melléklet összesen</t>
  </si>
  <si>
    <t>Szja 8%</t>
  </si>
  <si>
    <t>Jövedelemadó differenciálódás mérséklése</t>
  </si>
  <si>
    <t>Önkorm. hozzájár., tám., és SZJA bev. össz.</t>
  </si>
  <si>
    <t xml:space="preserve">Összesen: </t>
  </si>
  <si>
    <t>óvoda- iskola</t>
  </si>
  <si>
    <t>hivatal- óvoda-iskola</t>
  </si>
  <si>
    <t>Nagykovácsi Utánpotlás Sport Egyesület</t>
  </si>
  <si>
    <t>Zsíroshegyi Kilátások Egyesület</t>
  </si>
  <si>
    <t>1.mód</t>
  </si>
  <si>
    <t>1.sz módosítás után</t>
  </si>
  <si>
    <t>Gr. Tisza István Nemzeti Kör</t>
  </si>
  <si>
    <t>Crosskovácsi SKE Bikeschool</t>
  </si>
  <si>
    <t>Nagykovácsi Regnum Marianum</t>
  </si>
  <si>
    <t>Linum Alapítvány (Nyugdíjas Klub+program+Hospice képzés)</t>
  </si>
  <si>
    <t>Nagykovácsi Zenei Alapítvány (Nagykovácsi Kórus+NAMI program+taneszköz fejl)</t>
  </si>
  <si>
    <t>Nagycsaládosok Nagykovácsi Csoportja</t>
  </si>
  <si>
    <t>Bázis Alapítvány</t>
  </si>
  <si>
    <t>CIVIL ALAP</t>
  </si>
  <si>
    <t>2012.évi 1.sz mód</t>
  </si>
  <si>
    <t>utáni terv</t>
  </si>
  <si>
    <t>Képviselő úr sírköve</t>
  </si>
  <si>
    <t>Német Nemzetiségi Önkormányzat (Búcsú)</t>
  </si>
  <si>
    <t xml:space="preserve">Rozmaring u. </t>
  </si>
  <si>
    <t>Befektetett pénzügyi eszközök (részesedés)</t>
  </si>
  <si>
    <t>1. módosítás</t>
  </si>
  <si>
    <t>közbeszerzés</t>
  </si>
  <si>
    <t>BKV</t>
  </si>
  <si>
    <t>játszótér</t>
  </si>
  <si>
    <t>gépjármű</t>
  </si>
  <si>
    <t>beruh/felúj</t>
  </si>
  <si>
    <t>pénzmaradvány</t>
  </si>
  <si>
    <t>szoc+sírkő</t>
  </si>
  <si>
    <t>1.sz mód.</t>
  </si>
  <si>
    <t>1.sz. módosítás után</t>
  </si>
  <si>
    <t>1.sz. mód.</t>
  </si>
  <si>
    <t>Általános Iskola terembővítés</t>
  </si>
  <si>
    <t>Pénzmaradványból Fő utca földkábel tervezés</t>
  </si>
  <si>
    <t>1.sz. módosított</t>
  </si>
  <si>
    <t>1.sz módosítás</t>
  </si>
  <si>
    <t>Működési célú pénzeszköz átadás ÖSSZESEN:</t>
  </si>
  <si>
    <t>Befektetett pénzügyi eszközök</t>
  </si>
  <si>
    <t>kamat+per+közbesz. Eljárás+kieg bizt+forg.tech</t>
  </si>
  <si>
    <t>int fin. pénzmar</t>
  </si>
  <si>
    <t>int fin. ápolási+búcsú+fűnyíró+kátyú</t>
  </si>
  <si>
    <t>főkönyv</t>
  </si>
  <si>
    <t>Ökotábor</t>
  </si>
  <si>
    <t>Budakeszi Rendőrőrs</t>
  </si>
  <si>
    <t>2.sz mód.</t>
  </si>
  <si>
    <t>2.sz. módosított</t>
  </si>
  <si>
    <t>Csatorna-és vízdíjtámogatás</t>
  </si>
  <si>
    <t>2.sz. mód.</t>
  </si>
  <si>
    <t>2.sz. módosítás után</t>
  </si>
  <si>
    <t>2.sz. mód</t>
  </si>
  <si>
    <t>2.sz módosított</t>
  </si>
  <si>
    <t>2.mód</t>
  </si>
  <si>
    <t>2.sz módosítás után</t>
  </si>
  <si>
    <t>Kecskehát háttérfejlesztés</t>
  </si>
  <si>
    <t xml:space="preserve">          Kecskehát háttérfejlesztés</t>
  </si>
  <si>
    <t>2.sz módosítás</t>
  </si>
  <si>
    <t>2012.évi 2.sz mód</t>
  </si>
  <si>
    <t>NATÜ</t>
  </si>
  <si>
    <t>helyiségbérlet</t>
  </si>
  <si>
    <t>fejlsztések</t>
  </si>
  <si>
    <t>Víziközmű</t>
  </si>
  <si>
    <t>PE átadások</t>
  </si>
  <si>
    <t>bérkomp+int fin</t>
  </si>
  <si>
    <t>int fin</t>
  </si>
  <si>
    <t>dologi+int fin</t>
  </si>
  <si>
    <t>adó</t>
  </si>
  <si>
    <t>Amalimpia</t>
  </si>
  <si>
    <t>NATÜ Kft-nek tagi kölcsön</t>
  </si>
  <si>
    <t>hrsz 4420/115 kisajátított ingtlan többletértéke</t>
  </si>
  <si>
    <t>HUSK Inkubátorház</t>
  </si>
  <si>
    <t>NATÜ Kft-nek számítógépek</t>
  </si>
  <si>
    <t>NATÜ Kft-nek szoftverek</t>
  </si>
  <si>
    <t>NATÜ Kft törzstőke</t>
  </si>
  <si>
    <t>Félévi mód.</t>
  </si>
  <si>
    <t>Félévi módosított előir.</t>
  </si>
  <si>
    <t>Teljesítés</t>
  </si>
  <si>
    <t>Teljesítés %</t>
  </si>
  <si>
    <t>Kamerák üzembehelyezése</t>
  </si>
  <si>
    <t xml:space="preserve">Iskolai kazán kaszkád égéstermék elvezető rsz </t>
  </si>
  <si>
    <t>DGy óvoda bővítése, átépítése</t>
  </si>
  <si>
    <t>Kaszáló u. óvoda bővítés</t>
  </si>
  <si>
    <t>Bánya u. járda építése</t>
  </si>
  <si>
    <t>Új közvilágítási lámpatestek felszerelése</t>
  </si>
  <si>
    <t>Inkubátorház tervek</t>
  </si>
  <si>
    <t>Zsíroshegyi útépítés 1 éves műszaki felülvizsgálat</t>
  </si>
  <si>
    <t>Félévi mód. Után</t>
  </si>
  <si>
    <t>2012.félévi mód</t>
  </si>
  <si>
    <t>Félévi módosított</t>
  </si>
  <si>
    <t>TELJESÍTÉS</t>
  </si>
  <si>
    <t>TELJESÍTÉS %</t>
  </si>
  <si>
    <t>2012.évi eredeti előirányzat</t>
  </si>
  <si>
    <t>Nagykovácsi Alkotóművészek Egyesülete</t>
  </si>
  <si>
    <t>Félévi módosítás</t>
  </si>
  <si>
    <t>Félévi módosítás után</t>
  </si>
  <si>
    <t xml:space="preserve">            Érdekeltségnövelő támogatás</t>
  </si>
  <si>
    <t xml:space="preserve">            Lakossági víz-csatorna díjtámogatás</t>
  </si>
  <si>
    <t xml:space="preserve">            Bérpolítikai intézkedések (kereset kiegészítés )</t>
  </si>
  <si>
    <t>Napos Oldal Szoc. Otthon elszámolási különbözet</t>
  </si>
  <si>
    <t>TELJESÍTÉS %
teljesítés/nettó</t>
  </si>
  <si>
    <t>KMOP felszíni víz pályázat fel nem használt támogatásának visszautalása</t>
  </si>
  <si>
    <t>Bursa ösztöndíj (Fel nem használt támogatás 170e)</t>
  </si>
  <si>
    <t>Függő-átfutó, kiegyenlítő kiadások</t>
  </si>
  <si>
    <t>Függő-átfutó, kiegyenlítő bevételek</t>
  </si>
  <si>
    <t>Pénzkészlet-pénzmaradvány nélkül</t>
  </si>
  <si>
    <t>ZÁRÓ PÉNZKÉSZLET</t>
  </si>
  <si>
    <t>NYITÓ PÉNZKÉSZLET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</si>
</sst>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48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0"/>
    </font>
    <font>
      <b/>
      <sz val="9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i/>
      <sz val="9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 CE"/>
      <family val="1"/>
    </font>
    <font>
      <b/>
      <sz val="11"/>
      <color indexed="8"/>
      <name val="Times New Roman"/>
      <family val="1"/>
    </font>
    <font>
      <sz val="9"/>
      <name val="Times New Roman CE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0" fillId="17" borderId="7" applyNumberFormat="0" applyFont="0" applyAlignment="0" applyProtection="0"/>
    <xf numFmtId="0" fontId="20" fillId="17" borderId="7" applyNumberFormat="0" applyFont="0" applyAlignment="0" applyProtection="0"/>
    <xf numFmtId="0" fontId="20" fillId="17" borderId="7" applyNumberFormat="0" applyFont="0" applyAlignment="0" applyProtection="0"/>
    <xf numFmtId="0" fontId="2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1" fillId="4" borderId="0" applyNumberFormat="0" applyBorder="0" applyAlignment="0" applyProtection="0"/>
    <xf numFmtId="0" fontId="32" fillId="22" borderId="8" applyNumberFormat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2" borderId="1" applyNumberFormat="0" applyAlignment="0" applyProtection="0"/>
    <xf numFmtId="9" fontId="0" fillId="0" borderId="0" applyFont="0" applyFill="0" applyBorder="0" applyAlignment="0" applyProtection="0"/>
  </cellStyleXfs>
  <cellXfs count="573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14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4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0" fontId="14" fillId="0" borderId="17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14" fillId="24" borderId="2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" fillId="0" borderId="0" xfId="0" applyFont="1" applyFill="1" applyAlignment="1">
      <alignment/>
    </xf>
    <xf numFmtId="0" fontId="14" fillId="25" borderId="15" xfId="0" applyFont="1" applyFill="1" applyBorder="1" applyAlignment="1">
      <alignment/>
    </xf>
    <xf numFmtId="0" fontId="14" fillId="25" borderId="10" xfId="0" applyFont="1" applyFill="1" applyBorder="1" applyAlignment="1">
      <alignment/>
    </xf>
    <xf numFmtId="3" fontId="14" fillId="25" borderId="15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0" fontId="14" fillId="26" borderId="21" xfId="0" applyFont="1" applyFill="1" applyBorder="1" applyAlignment="1">
      <alignment horizontal="center"/>
    </xf>
    <xf numFmtId="0" fontId="14" fillId="24" borderId="21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27" borderId="13" xfId="0" applyFont="1" applyFill="1" applyBorder="1" applyAlignment="1">
      <alignment horizontal="center"/>
    </xf>
    <xf numFmtId="0" fontId="14" fillId="25" borderId="15" xfId="0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1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2" xfId="0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43" fontId="1" fillId="0" borderId="0" xfId="40" applyFont="1" applyAlignment="1">
      <alignment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4" fillId="0" borderId="17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25" xfId="0" applyFont="1" applyBorder="1" applyAlignment="1">
      <alignment/>
    </xf>
    <xf numFmtId="0" fontId="16" fillId="0" borderId="26" xfId="0" applyFont="1" applyBorder="1" applyAlignment="1">
      <alignment/>
    </xf>
    <xf numFmtId="3" fontId="14" fillId="0" borderId="25" xfId="0" applyNumberFormat="1" applyFont="1" applyFill="1" applyBorder="1" applyAlignment="1">
      <alignment/>
    </xf>
    <xf numFmtId="0" fontId="14" fillId="0" borderId="26" xfId="0" applyFont="1" applyBorder="1" applyAlignment="1">
      <alignment/>
    </xf>
    <xf numFmtId="3" fontId="14" fillId="0" borderId="25" xfId="0" applyNumberFormat="1" applyFont="1" applyFill="1" applyBorder="1" applyAlignment="1">
      <alignment/>
    </xf>
    <xf numFmtId="3" fontId="1" fillId="0" borderId="27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3" fontId="14" fillId="0" borderId="25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15" xfId="0" applyFont="1" applyBorder="1" applyAlignment="1">
      <alignment/>
    </xf>
    <xf numFmtId="0" fontId="14" fillId="24" borderId="21" xfId="0" applyFont="1" applyFill="1" applyBorder="1" applyAlignment="1">
      <alignment/>
    </xf>
    <xf numFmtId="3" fontId="14" fillId="24" borderId="2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4" fillId="24" borderId="29" xfId="0" applyFont="1" applyFill="1" applyBorder="1" applyAlignment="1">
      <alignment/>
    </xf>
    <xf numFmtId="0" fontId="14" fillId="24" borderId="18" xfId="0" applyFont="1" applyFill="1" applyBorder="1" applyAlignment="1">
      <alignment/>
    </xf>
    <xf numFmtId="3" fontId="14" fillId="24" borderId="2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30" xfId="0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31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0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" fillId="0" borderId="14" xfId="0" applyNumberFormat="1" applyFont="1" applyFill="1" applyBorder="1" applyAlignment="1">
      <alignment horizontal="right"/>
    </xf>
    <xf numFmtId="9" fontId="4" fillId="0" borderId="21" xfId="72" applyFont="1" applyBorder="1" applyAlignment="1">
      <alignment horizontal="center" wrapText="1"/>
    </xf>
    <xf numFmtId="9" fontId="0" fillId="0" borderId="0" xfId="72" applyFont="1" applyAlignment="1">
      <alignment/>
    </xf>
    <xf numFmtId="9" fontId="0" fillId="0" borderId="32" xfId="72" applyFont="1" applyBorder="1" applyAlignment="1">
      <alignment/>
    </xf>
    <xf numFmtId="9" fontId="0" fillId="0" borderId="13" xfId="72" applyFont="1" applyBorder="1" applyAlignment="1">
      <alignment/>
    </xf>
    <xf numFmtId="9" fontId="4" fillId="0" borderId="14" xfId="72" applyFont="1" applyBorder="1" applyAlignment="1">
      <alignment/>
    </xf>
    <xf numFmtId="9" fontId="0" fillId="0" borderId="13" xfId="72" applyFont="1" applyFill="1" applyBorder="1" applyAlignment="1">
      <alignment/>
    </xf>
    <xf numFmtId="9" fontId="4" fillId="0" borderId="33" xfId="72" applyFont="1" applyBorder="1" applyAlignment="1">
      <alignment/>
    </xf>
    <xf numFmtId="9" fontId="4" fillId="0" borderId="13" xfId="72" applyFont="1" applyBorder="1" applyAlignment="1">
      <alignment/>
    </xf>
    <xf numFmtId="9" fontId="4" fillId="0" borderId="15" xfId="72" applyFont="1" applyFill="1" applyBorder="1" applyAlignment="1">
      <alignment/>
    </xf>
    <xf numFmtId="9" fontId="9" fillId="0" borderId="21" xfId="72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3" xfId="72" applyFont="1" applyFill="1" applyBorder="1" applyAlignment="1">
      <alignment/>
    </xf>
    <xf numFmtId="0" fontId="14" fillId="0" borderId="32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4" fillId="0" borderId="34" xfId="0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9" fontId="14" fillId="0" borderId="35" xfId="72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3" fontId="14" fillId="0" borderId="0" xfId="0" applyNumberFormat="1" applyFont="1" applyAlignment="1">
      <alignment/>
    </xf>
    <xf numFmtId="3" fontId="1" fillId="0" borderId="23" xfId="0" applyNumberFormat="1" applyFont="1" applyFill="1" applyBorder="1" applyAlignment="1">
      <alignment horizontal="right"/>
    </xf>
    <xf numFmtId="0" fontId="14" fillId="24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right"/>
    </xf>
    <xf numFmtId="3" fontId="14" fillId="0" borderId="23" xfId="0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3" fontId="14" fillId="25" borderId="37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26" borderId="21" xfId="0" applyFont="1" applyFill="1" applyBorder="1" applyAlignment="1">
      <alignment/>
    </xf>
    <xf numFmtId="0" fontId="14" fillId="0" borderId="14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4" fillId="27" borderId="16" xfId="0" applyFont="1" applyFill="1" applyBorder="1" applyAlignment="1">
      <alignment/>
    </xf>
    <xf numFmtId="0" fontId="14" fillId="25" borderId="21" xfId="0" applyFont="1" applyFill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 horizontal="center" wrapText="1"/>
    </xf>
    <xf numFmtId="3" fontId="7" fillId="0" borderId="40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27" borderId="46" xfId="0" applyNumberFormat="1" applyFont="1" applyFill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50" xfId="0" applyNumberFormat="1" applyFont="1" applyBorder="1" applyAlignment="1">
      <alignment horizontal="right"/>
    </xf>
    <xf numFmtId="3" fontId="19" fillId="0" borderId="51" xfId="0" applyNumberFormat="1" applyFont="1" applyBorder="1" applyAlignment="1">
      <alignment horizontal="right"/>
    </xf>
    <xf numFmtId="3" fontId="19" fillId="0" borderId="52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49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28" borderId="52" xfId="0" applyNumberFormat="1" applyFont="1" applyFill="1" applyBorder="1" applyAlignment="1">
      <alignment/>
    </xf>
    <xf numFmtId="3" fontId="19" fillId="0" borderId="45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19" fillId="0" borderId="51" xfId="0" applyNumberFormat="1" applyFont="1" applyBorder="1" applyAlignment="1">
      <alignment/>
    </xf>
    <xf numFmtId="3" fontId="19" fillId="28" borderId="55" xfId="0" applyNumberFormat="1" applyFont="1" applyFill="1" applyBorder="1" applyAlignment="1">
      <alignment/>
    </xf>
    <xf numFmtId="0" fontId="7" fillId="0" borderId="56" xfId="0" applyFont="1" applyBorder="1" applyAlignment="1">
      <alignment horizontal="center" wrapText="1"/>
    </xf>
    <xf numFmtId="3" fontId="6" fillId="27" borderId="47" xfId="0" applyNumberFormat="1" applyFont="1" applyFill="1" applyBorder="1" applyAlignment="1">
      <alignment/>
    </xf>
    <xf numFmtId="3" fontId="19" fillId="0" borderId="47" xfId="0" applyNumberFormat="1" applyFont="1" applyBorder="1" applyAlignment="1">
      <alignment/>
    </xf>
    <xf numFmtId="3" fontId="6" fillId="27" borderId="39" xfId="0" applyNumberFormat="1" applyFont="1" applyFill="1" applyBorder="1" applyAlignment="1">
      <alignment/>
    </xf>
    <xf numFmtId="3" fontId="6" fillId="27" borderId="57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3" fontId="7" fillId="0" borderId="58" xfId="0" applyNumberFormat="1" applyFont="1" applyBorder="1" applyAlignment="1">
      <alignment/>
    </xf>
    <xf numFmtId="3" fontId="7" fillId="0" borderId="59" xfId="0" applyNumberFormat="1" applyFont="1" applyBorder="1" applyAlignment="1">
      <alignment vertical="center" wrapText="1"/>
    </xf>
    <xf numFmtId="3" fontId="7" fillId="0" borderId="60" xfId="0" applyNumberFormat="1" applyFont="1" applyBorder="1" applyAlignment="1">
      <alignment/>
    </xf>
    <xf numFmtId="3" fontId="7" fillId="0" borderId="61" xfId="0" applyNumberFormat="1" applyFont="1" applyBorder="1" applyAlignment="1">
      <alignment/>
    </xf>
    <xf numFmtId="3" fontId="7" fillId="0" borderId="60" xfId="0" applyNumberFormat="1" applyFont="1" applyFill="1" applyBorder="1" applyAlignment="1">
      <alignment/>
    </xf>
    <xf numFmtId="3" fontId="7" fillId="0" borderId="61" xfId="0" applyNumberFormat="1" applyFont="1" applyFill="1" applyBorder="1" applyAlignment="1">
      <alignment/>
    </xf>
    <xf numFmtId="0" fontId="6" fillId="0" borderId="62" xfId="0" applyFont="1" applyFill="1" applyBorder="1" applyAlignment="1">
      <alignment/>
    </xf>
    <xf numFmtId="3" fontId="14" fillId="26" borderId="21" xfId="40" applyNumberFormat="1" applyFont="1" applyFill="1" applyBorder="1" applyAlignment="1">
      <alignment horizontal="right"/>
    </xf>
    <xf numFmtId="3" fontId="14" fillId="0" borderId="21" xfId="4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shrinkToFit="1"/>
    </xf>
    <xf numFmtId="0" fontId="1" fillId="0" borderId="0" xfId="0" applyFont="1" applyFill="1" applyAlignment="1">
      <alignment/>
    </xf>
    <xf numFmtId="3" fontId="19" fillId="28" borderId="39" xfId="0" applyNumberFormat="1" applyFont="1" applyFill="1" applyBorder="1" applyAlignment="1">
      <alignment/>
    </xf>
    <xf numFmtId="170" fontId="0" fillId="0" borderId="0" xfId="40" applyNumberFormat="1" applyFont="1" applyAlignment="1">
      <alignment/>
    </xf>
    <xf numFmtId="2" fontId="0" fillId="0" borderId="31" xfId="0" applyNumberFormat="1" applyFont="1" applyBorder="1" applyAlignment="1">
      <alignment wrapText="1"/>
    </xf>
    <xf numFmtId="2" fontId="0" fillId="0" borderId="32" xfId="0" applyNumberFormat="1" applyFont="1" applyBorder="1" applyAlignment="1">
      <alignment wrapText="1"/>
    </xf>
    <xf numFmtId="2" fontId="4" fillId="0" borderId="22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wrapText="1"/>
    </xf>
    <xf numFmtId="0" fontId="14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59" xfId="0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0" fillId="0" borderId="21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2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0" fontId="0" fillId="0" borderId="34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horizontal="right"/>
    </xf>
    <xf numFmtId="0" fontId="1" fillId="0" borderId="4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8" xfId="0" applyFont="1" applyBorder="1" applyAlignment="1">
      <alignment horizontal="left"/>
    </xf>
    <xf numFmtId="0" fontId="14" fillId="0" borderId="60" xfId="0" applyFont="1" applyBorder="1" applyAlignment="1">
      <alignment horizontal="left"/>
    </xf>
    <xf numFmtId="3" fontId="4" fillId="0" borderId="21" xfId="0" applyNumberFormat="1" applyFont="1" applyFill="1" applyBorder="1" applyAlignment="1">
      <alignment horizontal="right"/>
    </xf>
    <xf numFmtId="0" fontId="0" fillId="0" borderId="62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3" fontId="4" fillId="0" borderId="29" xfId="0" applyNumberFormat="1" applyFont="1" applyFill="1" applyBorder="1" applyAlignment="1">
      <alignment horizontal="right"/>
    </xf>
    <xf numFmtId="0" fontId="4" fillId="0" borderId="29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 horizontal="left"/>
    </xf>
    <xf numFmtId="0" fontId="4" fillId="0" borderId="64" xfId="0" applyFont="1" applyBorder="1" applyAlignment="1">
      <alignment/>
    </xf>
    <xf numFmtId="0" fontId="0" fillId="0" borderId="0" xfId="0" applyNumberFormat="1" applyFont="1" applyAlignment="1">
      <alignment/>
    </xf>
    <xf numFmtId="189" fontId="0" fillId="0" borderId="0" xfId="72" applyNumberFormat="1" applyFont="1" applyBorder="1" applyAlignment="1">
      <alignment/>
    </xf>
    <xf numFmtId="170" fontId="0" fillId="0" borderId="0" xfId="40" applyNumberFormat="1" applyFont="1" applyBorder="1" applyAlignment="1">
      <alignment/>
    </xf>
    <xf numFmtId="2" fontId="4" fillId="0" borderId="2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49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49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50" xfId="0" applyFont="1" applyFill="1" applyBorder="1" applyAlignment="1">
      <alignment horizontal="left"/>
    </xf>
    <xf numFmtId="0" fontId="1" fillId="0" borderId="65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right"/>
    </xf>
    <xf numFmtId="0" fontId="6" fillId="0" borderId="49" xfId="0" applyFont="1" applyBorder="1" applyAlignment="1">
      <alignment horizontal="left"/>
    </xf>
    <xf numFmtId="3" fontId="0" fillId="0" borderId="49" xfId="0" applyNumberFormat="1" applyFont="1" applyFill="1" applyBorder="1" applyAlignment="1">
      <alignment horizontal="right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3" fontId="4" fillId="0" borderId="63" xfId="0" applyNumberFormat="1" applyFont="1" applyBorder="1" applyAlignment="1">
      <alignment horizontal="center"/>
    </xf>
    <xf numFmtId="3" fontId="4" fillId="0" borderId="66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0" fillId="0" borderId="39" xfId="0" applyNumberFormat="1" applyFont="1" applyFill="1" applyBorder="1" applyAlignment="1">
      <alignment horizontal="right"/>
    </xf>
    <xf numFmtId="0" fontId="4" fillId="0" borderId="5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6" fillId="0" borderId="65" xfId="0" applyFont="1" applyBorder="1" applyAlignment="1">
      <alignment/>
    </xf>
    <xf numFmtId="0" fontId="4" fillId="0" borderId="58" xfId="0" applyFont="1" applyBorder="1" applyAlignment="1">
      <alignment horizontal="center"/>
    </xf>
    <xf numFmtId="0" fontId="4" fillId="0" borderId="60" xfId="0" applyFont="1" applyBorder="1" applyAlignment="1">
      <alignment/>
    </xf>
    <xf numFmtId="3" fontId="4" fillId="0" borderId="60" xfId="0" applyNumberFormat="1" applyFont="1" applyBorder="1" applyAlignment="1">
      <alignment horizontal="right"/>
    </xf>
    <xf numFmtId="3" fontId="4" fillId="0" borderId="61" xfId="0" applyNumberFormat="1" applyFont="1" applyBorder="1" applyAlignment="1">
      <alignment horizontal="right"/>
    </xf>
    <xf numFmtId="0" fontId="0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left"/>
    </xf>
    <xf numFmtId="3" fontId="0" fillId="0" borderId="46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3" fontId="4" fillId="0" borderId="54" xfId="0" applyNumberFormat="1" applyFont="1" applyBorder="1" applyAlignment="1">
      <alignment horizontal="center"/>
    </xf>
    <xf numFmtId="3" fontId="4" fillId="0" borderId="57" xfId="0" applyNumberFormat="1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6" fillId="0" borderId="63" xfId="0" applyFont="1" applyBorder="1" applyAlignment="1">
      <alignment/>
    </xf>
    <xf numFmtId="3" fontId="0" fillId="0" borderId="63" xfId="0" applyNumberFormat="1" applyFont="1" applyFill="1" applyBorder="1" applyAlignment="1">
      <alignment horizontal="right"/>
    </xf>
    <xf numFmtId="3" fontId="0" fillId="0" borderId="66" xfId="0" applyNumberFormat="1" applyFont="1" applyFill="1" applyBorder="1" applyAlignment="1">
      <alignment horizontal="right"/>
    </xf>
    <xf numFmtId="0" fontId="6" fillId="0" borderId="54" xfId="0" applyFont="1" applyBorder="1" applyAlignment="1">
      <alignment/>
    </xf>
    <xf numFmtId="3" fontId="0" fillId="0" borderId="5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14" fillId="0" borderId="32" xfId="0" applyFont="1" applyBorder="1" applyAlignment="1">
      <alignment horizontal="center" wrapText="1"/>
    </xf>
    <xf numFmtId="166" fontId="14" fillId="0" borderId="66" xfId="0" applyNumberFormat="1" applyFont="1" applyFill="1" applyBorder="1" applyAlignment="1">
      <alignment/>
    </xf>
    <xf numFmtId="166" fontId="14" fillId="0" borderId="57" xfId="0" applyNumberFormat="1" applyFont="1" applyFill="1" applyBorder="1" applyAlignment="1">
      <alignment/>
    </xf>
    <xf numFmtId="3" fontId="19" fillId="0" borderId="39" xfId="0" applyNumberFormat="1" applyFont="1" applyFill="1" applyBorder="1" applyAlignment="1">
      <alignment/>
    </xf>
    <xf numFmtId="3" fontId="19" fillId="28" borderId="47" xfId="0" applyNumberFormat="1" applyFont="1" applyFill="1" applyBorder="1" applyAlignment="1">
      <alignment/>
    </xf>
    <xf numFmtId="0" fontId="38" fillId="29" borderId="67" xfId="59" applyFont="1" applyFill="1" applyBorder="1" applyAlignment="1">
      <alignment horizontal="center"/>
      <protection/>
    </xf>
    <xf numFmtId="0" fontId="38" fillId="29" borderId="68" xfId="59" applyFont="1" applyFill="1" applyBorder="1" applyAlignment="1">
      <alignment horizontal="center"/>
      <protection/>
    </xf>
    <xf numFmtId="170" fontId="39" fillId="29" borderId="69" xfId="40" applyNumberFormat="1" applyFont="1" applyFill="1" applyBorder="1" applyAlignment="1">
      <alignment/>
    </xf>
    <xf numFmtId="0" fontId="39" fillId="29" borderId="70" xfId="0" applyFont="1" applyFill="1" applyBorder="1" applyAlignment="1">
      <alignment/>
    </xf>
    <xf numFmtId="170" fontId="0" fillId="29" borderId="69" xfId="40" applyNumberFormat="1" applyFill="1" applyBorder="1" applyAlignment="1">
      <alignment/>
    </xf>
    <xf numFmtId="0" fontId="0" fillId="0" borderId="0" xfId="0" applyAlignment="1">
      <alignment/>
    </xf>
    <xf numFmtId="0" fontId="38" fillId="29" borderId="71" xfId="59" applyFont="1" applyFill="1" applyBorder="1" applyAlignment="1">
      <alignment horizontal="center"/>
      <protection/>
    </xf>
    <xf numFmtId="0" fontId="38" fillId="29" borderId="72" xfId="59" applyFont="1" applyFill="1" applyBorder="1" applyAlignment="1">
      <alignment horizontal="center"/>
      <protection/>
    </xf>
    <xf numFmtId="0" fontId="38" fillId="29" borderId="73" xfId="59" applyFont="1" applyFill="1" applyBorder="1" applyAlignment="1">
      <alignment horizontal="center"/>
      <protection/>
    </xf>
    <xf numFmtId="0" fontId="38" fillId="29" borderId="74" xfId="59" applyFont="1" applyFill="1" applyBorder="1" applyAlignment="1">
      <alignment horizontal="center"/>
      <protection/>
    </xf>
    <xf numFmtId="170" fontId="38" fillId="29" borderId="75" xfId="40" applyNumberFormat="1" applyFont="1" applyFill="1" applyBorder="1" applyAlignment="1">
      <alignment horizontal="center"/>
    </xf>
    <xf numFmtId="0" fontId="38" fillId="29" borderId="76" xfId="59" applyFont="1" applyFill="1" applyBorder="1" applyAlignment="1">
      <alignment horizontal="center"/>
      <protection/>
    </xf>
    <xf numFmtId="170" fontId="38" fillId="29" borderId="77" xfId="40" applyNumberFormat="1" applyFont="1" applyFill="1" applyBorder="1" applyAlignment="1">
      <alignment horizontal="center"/>
    </xf>
    <xf numFmtId="0" fontId="38" fillId="29" borderId="78" xfId="59" applyFont="1" applyFill="1" applyBorder="1" applyAlignment="1">
      <alignment horizontal="center"/>
      <protection/>
    </xf>
    <xf numFmtId="170" fontId="38" fillId="29" borderId="79" xfId="40" applyNumberFormat="1" applyFont="1" applyFill="1" applyBorder="1" applyAlignment="1">
      <alignment horizontal="center"/>
    </xf>
    <xf numFmtId="0" fontId="39" fillId="29" borderId="80" xfId="0" applyFont="1" applyFill="1" applyBorder="1" applyAlignment="1">
      <alignment/>
    </xf>
    <xf numFmtId="170" fontId="0" fillId="29" borderId="24" xfId="40" applyNumberFormat="1" applyFill="1" applyBorder="1" applyAlignment="1">
      <alignment/>
    </xf>
    <xf numFmtId="0" fontId="40" fillId="27" borderId="81" xfId="59" applyFont="1" applyFill="1" applyBorder="1" applyAlignment="1">
      <alignment wrapText="1"/>
      <protection/>
    </xf>
    <xf numFmtId="0" fontId="40" fillId="27" borderId="82" xfId="59" applyFont="1" applyFill="1" applyBorder="1">
      <alignment/>
      <protection/>
    </xf>
    <xf numFmtId="3" fontId="40" fillId="27" borderId="83" xfId="59" applyNumberFormat="1" applyFont="1" applyFill="1" applyBorder="1">
      <alignment/>
      <protection/>
    </xf>
    <xf numFmtId="3" fontId="40" fillId="27" borderId="84" xfId="59" applyNumberFormat="1" applyFont="1" applyFill="1" applyBorder="1">
      <alignment/>
      <protection/>
    </xf>
    <xf numFmtId="170" fontId="40" fillId="27" borderId="85" xfId="40" applyNumberFormat="1" applyFont="1" applyFill="1" applyBorder="1" applyAlignment="1">
      <alignment/>
    </xf>
    <xf numFmtId="0" fontId="40" fillId="0" borderId="80" xfId="0" applyFont="1" applyBorder="1" applyAlignment="1">
      <alignment/>
    </xf>
    <xf numFmtId="170" fontId="34" fillId="0" borderId="24" xfId="40" applyNumberFormat="1" applyFont="1" applyBorder="1" applyAlignment="1">
      <alignment/>
    </xf>
    <xf numFmtId="0" fontId="34" fillId="0" borderId="0" xfId="0" applyFont="1" applyAlignment="1">
      <alignment/>
    </xf>
    <xf numFmtId="0" fontId="40" fillId="27" borderId="81" xfId="59" applyFont="1" applyFill="1" applyBorder="1">
      <alignment/>
      <protection/>
    </xf>
    <xf numFmtId="0" fontId="40" fillId="27" borderId="83" xfId="59" applyFont="1" applyFill="1" applyBorder="1">
      <alignment/>
      <protection/>
    </xf>
    <xf numFmtId="0" fontId="40" fillId="0" borderId="86" xfId="0" applyFont="1" applyBorder="1" applyAlignment="1">
      <alignment/>
    </xf>
    <xf numFmtId="170" fontId="34" fillId="0" borderId="23" xfId="40" applyNumberFormat="1" applyFont="1" applyBorder="1" applyAlignment="1">
      <alignment/>
    </xf>
    <xf numFmtId="0" fontId="39" fillId="27" borderId="71" xfId="59" applyFont="1" applyFill="1" applyBorder="1">
      <alignment/>
      <protection/>
    </xf>
    <xf numFmtId="0" fontId="39" fillId="27" borderId="72" xfId="59" applyFont="1" applyFill="1" applyBorder="1">
      <alignment/>
      <protection/>
    </xf>
    <xf numFmtId="0" fontId="39" fillId="27" borderId="87" xfId="59" applyFont="1" applyFill="1" applyBorder="1">
      <alignment/>
      <protection/>
    </xf>
    <xf numFmtId="3" fontId="39" fillId="27" borderId="78" xfId="59" applyNumberFormat="1" applyFont="1" applyFill="1" applyBorder="1">
      <alignment/>
      <protection/>
    </xf>
    <xf numFmtId="170" fontId="39" fillId="27" borderId="79" xfId="40" applyNumberFormat="1" applyFont="1" applyFill="1" applyBorder="1" applyAlignment="1">
      <alignment/>
    </xf>
    <xf numFmtId="0" fontId="39" fillId="0" borderId="76" xfId="0" applyFont="1" applyBorder="1" applyAlignment="1">
      <alignment/>
    </xf>
    <xf numFmtId="170" fontId="0" fillId="0" borderId="77" xfId="40" applyNumberFormat="1" applyBorder="1" applyAlignment="1">
      <alignment/>
    </xf>
    <xf numFmtId="170" fontId="41" fillId="0" borderId="77" xfId="40" applyNumberFormat="1" applyFont="1" applyBorder="1" applyAlignment="1">
      <alignment/>
    </xf>
    <xf numFmtId="170" fontId="42" fillId="0" borderId="24" xfId="40" applyNumberFormat="1" applyFont="1" applyBorder="1" applyAlignment="1">
      <alignment/>
    </xf>
    <xf numFmtId="0" fontId="40" fillId="27" borderId="71" xfId="59" applyFont="1" applyFill="1" applyBorder="1">
      <alignment/>
      <protection/>
    </xf>
    <xf numFmtId="0" fontId="40" fillId="27" borderId="72" xfId="59" applyFont="1" applyFill="1" applyBorder="1">
      <alignment/>
      <protection/>
    </xf>
    <xf numFmtId="0" fontId="40" fillId="27" borderId="87" xfId="59" applyFont="1" applyFill="1" applyBorder="1">
      <alignment/>
      <protection/>
    </xf>
    <xf numFmtId="3" fontId="40" fillId="27" borderId="78" xfId="59" applyNumberFormat="1" applyFont="1" applyFill="1" applyBorder="1">
      <alignment/>
      <protection/>
    </xf>
    <xf numFmtId="170" fontId="40" fillId="27" borderId="79" xfId="40" applyNumberFormat="1" applyFont="1" applyFill="1" applyBorder="1" applyAlignment="1">
      <alignment/>
    </xf>
    <xf numFmtId="0" fontId="40" fillId="0" borderId="76" xfId="0" applyFont="1" applyBorder="1" applyAlignment="1">
      <alignment/>
    </xf>
    <xf numFmtId="170" fontId="42" fillId="0" borderId="77" xfId="40" applyNumberFormat="1" applyFont="1" applyBorder="1" applyAlignment="1">
      <alignment/>
    </xf>
    <xf numFmtId="0" fontId="40" fillId="27" borderId="48" xfId="59" applyFont="1" applyFill="1" applyBorder="1">
      <alignment/>
      <protection/>
    </xf>
    <xf numFmtId="0" fontId="39" fillId="27" borderId="0" xfId="59" applyFont="1" applyFill="1" applyBorder="1">
      <alignment/>
      <protection/>
    </xf>
    <xf numFmtId="3" fontId="39" fillId="27" borderId="72" xfId="59" applyNumberFormat="1" applyFont="1" applyFill="1" applyBorder="1">
      <alignment/>
      <protection/>
    </xf>
    <xf numFmtId="3" fontId="40" fillId="27" borderId="86" xfId="59" applyNumberFormat="1" applyFont="1" applyFill="1" applyBorder="1">
      <alignment/>
      <protection/>
    </xf>
    <xf numFmtId="170" fontId="40" fillId="27" borderId="84" xfId="40" applyNumberFormat="1" applyFont="1" applyFill="1" applyBorder="1" applyAlignment="1">
      <alignment/>
    </xf>
    <xf numFmtId="0" fontId="39" fillId="0" borderId="88" xfId="0" applyFont="1" applyBorder="1" applyAlignment="1">
      <alignment/>
    </xf>
    <xf numFmtId="170" fontId="41" fillId="0" borderId="38" xfId="40" applyNumberFormat="1" applyFont="1" applyBorder="1" applyAlignment="1">
      <alignment horizontal="right"/>
    </xf>
    <xf numFmtId="3" fontId="39" fillId="0" borderId="76" xfId="0" applyNumberFormat="1" applyFont="1" applyBorder="1" applyAlignment="1">
      <alignment/>
    </xf>
    <xf numFmtId="170" fontId="0" fillId="0" borderId="0" xfId="0" applyNumberFormat="1" applyAlignment="1">
      <alignment/>
    </xf>
    <xf numFmtId="3" fontId="39" fillId="0" borderId="76" xfId="0" applyNumberFormat="1" applyFont="1" applyFill="1" applyBorder="1" applyAlignment="1">
      <alignment/>
    </xf>
    <xf numFmtId="170" fontId="41" fillId="0" borderId="77" xfId="40" applyNumberFormat="1" applyFont="1" applyFill="1" applyBorder="1" applyAlignment="1">
      <alignment/>
    </xf>
    <xf numFmtId="0" fontId="0" fillId="0" borderId="0" xfId="0" applyFill="1" applyAlignment="1">
      <alignment/>
    </xf>
    <xf numFmtId="3" fontId="40" fillId="0" borderId="86" xfId="0" applyNumberFormat="1" applyFont="1" applyBorder="1" applyAlignment="1">
      <alignment/>
    </xf>
    <xf numFmtId="170" fontId="42" fillId="0" borderId="23" xfId="40" applyNumberFormat="1" applyFont="1" applyBorder="1" applyAlignment="1">
      <alignment/>
    </xf>
    <xf numFmtId="3" fontId="39" fillId="27" borderId="78" xfId="59" applyNumberFormat="1" applyFont="1" applyFill="1" applyBorder="1" applyAlignment="1">
      <alignment horizontal="right"/>
      <protection/>
    </xf>
    <xf numFmtId="0" fontId="39" fillId="27" borderId="11" xfId="59" applyFont="1" applyFill="1" applyBorder="1">
      <alignment/>
      <protection/>
    </xf>
    <xf numFmtId="0" fontId="39" fillId="27" borderId="87" xfId="59" applyFont="1" applyFill="1" applyBorder="1" applyAlignment="1">
      <alignment horizontal="right"/>
      <protection/>
    </xf>
    <xf numFmtId="3" fontId="39" fillId="27" borderId="87" xfId="59" applyNumberFormat="1" applyFont="1" applyFill="1" applyBorder="1">
      <alignment/>
      <protection/>
    </xf>
    <xf numFmtId="0" fontId="39" fillId="27" borderId="89" xfId="59" applyFont="1" applyFill="1" applyBorder="1">
      <alignment/>
      <protection/>
    </xf>
    <xf numFmtId="3" fontId="39" fillId="27" borderId="76" xfId="59" applyNumberFormat="1" applyFont="1" applyFill="1" applyBorder="1">
      <alignment/>
      <protection/>
    </xf>
    <xf numFmtId="170" fontId="39" fillId="27" borderId="90" xfId="40" applyNumberFormat="1" applyFont="1" applyFill="1" applyBorder="1" applyAlignment="1">
      <alignment/>
    </xf>
    <xf numFmtId="170" fontId="39" fillId="0" borderId="77" xfId="40" applyNumberFormat="1" applyFont="1" applyBorder="1" applyAlignment="1">
      <alignment/>
    </xf>
    <xf numFmtId="170" fontId="40" fillId="27" borderId="86" xfId="40" applyNumberFormat="1" applyFont="1" applyFill="1" applyBorder="1" applyAlignment="1">
      <alignment/>
    </xf>
    <xf numFmtId="175" fontId="39" fillId="27" borderId="72" xfId="59" applyNumberFormat="1" applyFont="1" applyFill="1" applyBorder="1">
      <alignment/>
      <protection/>
    </xf>
    <xf numFmtId="170" fontId="43" fillId="0" borderId="77" xfId="40" applyNumberFormat="1" applyFont="1" applyBorder="1" applyAlignment="1">
      <alignment/>
    </xf>
    <xf numFmtId="0" fontId="40" fillId="27" borderId="12" xfId="59" applyFont="1" applyFill="1" applyBorder="1">
      <alignment/>
      <protection/>
    </xf>
    <xf numFmtId="0" fontId="38" fillId="30" borderId="22" xfId="59" applyFont="1" applyFill="1" applyBorder="1">
      <alignment/>
      <protection/>
    </xf>
    <xf numFmtId="0" fontId="38" fillId="30" borderId="91" xfId="59" applyFont="1" applyFill="1" applyBorder="1">
      <alignment/>
      <protection/>
    </xf>
    <xf numFmtId="0" fontId="38" fillId="30" borderId="92" xfId="59" applyFont="1" applyFill="1" applyBorder="1">
      <alignment/>
      <protection/>
    </xf>
    <xf numFmtId="3" fontId="38" fillId="30" borderId="93" xfId="59" applyNumberFormat="1" applyFont="1" applyFill="1" applyBorder="1">
      <alignment/>
      <protection/>
    </xf>
    <xf numFmtId="170" fontId="38" fillId="30" borderId="37" xfId="40" applyNumberFormat="1" applyFont="1" applyFill="1" applyBorder="1" applyAlignment="1">
      <alignment/>
    </xf>
    <xf numFmtId="3" fontId="38" fillId="30" borderId="94" xfId="0" applyNumberFormat="1" applyFont="1" applyFill="1" applyBorder="1" applyAlignment="1">
      <alignment/>
    </xf>
    <xf numFmtId="170" fontId="38" fillId="30" borderId="37" xfId="40" applyNumberFormat="1" applyFont="1" applyFill="1" applyBorder="1" applyAlignment="1">
      <alignment/>
    </xf>
    <xf numFmtId="0" fontId="40" fillId="27" borderId="11" xfId="59" applyFont="1" applyFill="1" applyBorder="1">
      <alignment/>
      <protection/>
    </xf>
    <xf numFmtId="0" fontId="40" fillId="27" borderId="95" xfId="59" applyFont="1" applyFill="1" applyBorder="1">
      <alignment/>
      <protection/>
    </xf>
    <xf numFmtId="170" fontId="40" fillId="27" borderId="77" xfId="40" applyNumberFormat="1" applyFont="1" applyFill="1" applyBorder="1" applyAlignment="1">
      <alignment/>
    </xf>
    <xf numFmtId="0" fontId="39" fillId="27" borderId="82" xfId="59" applyFont="1" applyFill="1" applyBorder="1">
      <alignment/>
      <protection/>
    </xf>
    <xf numFmtId="170" fontId="39" fillId="27" borderId="85" xfId="40" applyNumberFormat="1" applyFont="1" applyFill="1" applyBorder="1" applyAlignment="1">
      <alignment/>
    </xf>
    <xf numFmtId="3" fontId="39" fillId="0" borderId="86" xfId="0" applyNumberFormat="1" applyFont="1" applyBorder="1" applyAlignment="1">
      <alignment/>
    </xf>
    <xf numFmtId="170" fontId="0" fillId="0" borderId="23" xfId="40" applyNumberFormat="1" applyBorder="1" applyAlignment="1">
      <alignment/>
    </xf>
    <xf numFmtId="0" fontId="40" fillId="30" borderId="22" xfId="59" applyFont="1" applyFill="1" applyBorder="1">
      <alignment/>
      <protection/>
    </xf>
    <xf numFmtId="0" fontId="40" fillId="30" borderId="91" xfId="59" applyFont="1" applyFill="1" applyBorder="1">
      <alignment/>
      <protection/>
    </xf>
    <xf numFmtId="3" fontId="40" fillId="30" borderId="94" xfId="59" applyNumberFormat="1" applyFont="1" applyFill="1" applyBorder="1">
      <alignment/>
      <protection/>
    </xf>
    <xf numFmtId="170" fontId="40" fillId="30" borderId="96" xfId="40" applyNumberFormat="1" applyFont="1" applyFill="1" applyBorder="1" applyAlignment="1">
      <alignment/>
    </xf>
    <xf numFmtId="3" fontId="39" fillId="30" borderId="94" xfId="0" applyNumberFormat="1" applyFont="1" applyFill="1" applyBorder="1" applyAlignment="1">
      <alignment/>
    </xf>
    <xf numFmtId="170" fontId="39" fillId="30" borderId="37" xfId="40" applyNumberFormat="1" applyFont="1" applyFill="1" applyBorder="1" applyAlignment="1">
      <alignment/>
    </xf>
    <xf numFmtId="0" fontId="40" fillId="31" borderId="22" xfId="59" applyFont="1" applyFill="1" applyBorder="1">
      <alignment/>
      <protection/>
    </xf>
    <xf numFmtId="0" fontId="40" fillId="31" borderId="91" xfId="59" applyFont="1" applyFill="1" applyBorder="1">
      <alignment/>
      <protection/>
    </xf>
    <xf numFmtId="3" fontId="40" fillId="31" borderId="94" xfId="59" applyNumberFormat="1" applyFont="1" applyFill="1" applyBorder="1">
      <alignment/>
      <protection/>
    </xf>
    <xf numFmtId="170" fontId="40" fillId="31" borderId="96" xfId="40" applyNumberFormat="1" applyFont="1" applyFill="1" applyBorder="1" applyAlignment="1">
      <alignment/>
    </xf>
    <xf numFmtId="3" fontId="40" fillId="31" borderId="94" xfId="0" applyNumberFormat="1" applyFont="1" applyFill="1" applyBorder="1" applyAlignment="1">
      <alignment/>
    </xf>
    <xf numFmtId="170" fontId="40" fillId="31" borderId="37" xfId="40" applyNumberFormat="1" applyFont="1" applyFill="1" applyBorder="1" applyAlignment="1">
      <alignment/>
    </xf>
    <xf numFmtId="3" fontId="44" fillId="27" borderId="78" xfId="59" applyNumberFormat="1" applyFont="1" applyFill="1" applyBorder="1">
      <alignment/>
      <protection/>
    </xf>
    <xf numFmtId="0" fontId="39" fillId="27" borderId="97" xfId="59" applyFont="1" applyFill="1" applyBorder="1">
      <alignment/>
      <protection/>
    </xf>
    <xf numFmtId="0" fontId="40" fillId="27" borderId="98" xfId="59" applyFont="1" applyFill="1" applyBorder="1">
      <alignment/>
      <protection/>
    </xf>
    <xf numFmtId="3" fontId="39" fillId="27" borderId="99" xfId="59" applyNumberFormat="1" applyFont="1" applyFill="1" applyBorder="1">
      <alignment/>
      <protection/>
    </xf>
    <xf numFmtId="170" fontId="40" fillId="27" borderId="100" xfId="40" applyNumberFormat="1" applyFont="1" applyFill="1" applyBorder="1" applyAlignment="1">
      <alignment/>
    </xf>
    <xf numFmtId="0" fontId="40" fillId="31" borderId="101" xfId="59" applyFont="1" applyFill="1" applyBorder="1">
      <alignment/>
      <protection/>
    </xf>
    <xf numFmtId="0" fontId="40" fillId="31" borderId="102" xfId="59" applyFont="1" applyFill="1" applyBorder="1">
      <alignment/>
      <protection/>
    </xf>
    <xf numFmtId="3" fontId="40" fillId="31" borderId="103" xfId="59" applyNumberFormat="1" applyFont="1" applyFill="1" applyBorder="1">
      <alignment/>
      <protection/>
    </xf>
    <xf numFmtId="170" fontId="40" fillId="31" borderId="104" xfId="40" applyNumberFormat="1" applyFont="1" applyFill="1" applyBorder="1" applyAlignment="1">
      <alignment/>
    </xf>
    <xf numFmtId="0" fontId="39" fillId="31" borderId="105" xfId="0" applyFont="1" applyFill="1" applyBorder="1" applyAlignment="1">
      <alignment/>
    </xf>
    <xf numFmtId="170" fontId="0" fillId="31" borderId="36" xfId="40" applyNumberFormat="1" applyFill="1" applyBorder="1" applyAlignment="1">
      <alignment/>
    </xf>
    <xf numFmtId="0" fontId="45" fillId="32" borderId="58" xfId="59" applyFont="1" applyFill="1" applyBorder="1">
      <alignment/>
      <protection/>
    </xf>
    <xf numFmtId="0" fontId="45" fillId="32" borderId="60" xfId="0" applyFont="1" applyFill="1" applyBorder="1" applyAlignment="1">
      <alignment/>
    </xf>
    <xf numFmtId="3" fontId="45" fillId="32" borderId="60" xfId="0" applyNumberFormat="1" applyFont="1" applyFill="1" applyBorder="1" applyAlignment="1">
      <alignment/>
    </xf>
    <xf numFmtId="170" fontId="45" fillId="32" borderId="60" xfId="40" applyNumberFormat="1" applyFont="1" applyFill="1" applyBorder="1" applyAlignment="1">
      <alignment/>
    </xf>
    <xf numFmtId="3" fontId="40" fillId="32" borderId="60" xfId="0" applyNumberFormat="1" applyFont="1" applyFill="1" applyBorder="1" applyAlignment="1">
      <alignment/>
    </xf>
    <xf numFmtId="170" fontId="40" fillId="32" borderId="37" xfId="4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27" borderId="45" xfId="0" applyFont="1" applyFill="1" applyBorder="1" applyAlignment="1">
      <alignment/>
    </xf>
    <xf numFmtId="0" fontId="21" fillId="27" borderId="46" xfId="0" applyFont="1" applyFill="1" applyBorder="1" applyAlignment="1">
      <alignment/>
    </xf>
    <xf numFmtId="170" fontId="21" fillId="27" borderId="46" xfId="40" applyNumberFormat="1" applyFont="1" applyFill="1" applyBorder="1" applyAlignment="1">
      <alignment/>
    </xf>
    <xf numFmtId="0" fontId="39" fillId="0" borderId="46" xfId="0" applyFont="1" applyBorder="1" applyAlignment="1">
      <alignment/>
    </xf>
    <xf numFmtId="170" fontId="40" fillId="0" borderId="47" xfId="40" applyNumberFormat="1" applyFont="1" applyBorder="1" applyAlignment="1">
      <alignment/>
    </xf>
    <xf numFmtId="0" fontId="21" fillId="27" borderId="30" xfId="0" applyFont="1" applyFill="1" applyBorder="1" applyAlignment="1">
      <alignment/>
    </xf>
    <xf numFmtId="0" fontId="21" fillId="27" borderId="54" xfId="0" applyFont="1" applyFill="1" applyBorder="1" applyAlignment="1">
      <alignment/>
    </xf>
    <xf numFmtId="3" fontId="21" fillId="27" borderId="54" xfId="0" applyNumberFormat="1" applyFont="1" applyFill="1" applyBorder="1" applyAlignment="1">
      <alignment/>
    </xf>
    <xf numFmtId="170" fontId="21" fillId="27" borderId="54" xfId="40" applyNumberFormat="1" applyFont="1" applyFill="1" applyBorder="1" applyAlignment="1">
      <alignment/>
    </xf>
    <xf numFmtId="3" fontId="39" fillId="0" borderId="54" xfId="0" applyNumberFormat="1" applyFont="1" applyBorder="1" applyAlignment="1">
      <alignment/>
    </xf>
    <xf numFmtId="170" fontId="40" fillId="0" borderId="57" xfId="40" applyNumberFormat="1" applyFont="1" applyBorder="1" applyAlignment="1">
      <alignment/>
    </xf>
    <xf numFmtId="0" fontId="46" fillId="0" borderId="0" xfId="0" applyFont="1" applyFill="1" applyAlignment="1">
      <alignment/>
    </xf>
    <xf numFmtId="170" fontId="46" fillId="0" borderId="0" xfId="4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0" fontId="46" fillId="0" borderId="0" xfId="0" applyFont="1" applyFill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0" fontId="1" fillId="28" borderId="0" xfId="0" applyFont="1" applyFill="1" applyAlignment="1">
      <alignment/>
    </xf>
    <xf numFmtId="3" fontId="1" fillId="30" borderId="2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77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28" borderId="0" xfId="0" applyFont="1" applyFill="1" applyBorder="1" applyAlignment="1">
      <alignment wrapText="1"/>
    </xf>
    <xf numFmtId="0" fontId="1" fillId="28" borderId="0" xfId="0" applyFont="1" applyFill="1" applyBorder="1" applyAlignment="1">
      <alignment/>
    </xf>
    <xf numFmtId="0" fontId="1" fillId="28" borderId="0" xfId="0" applyFont="1" applyFill="1" applyBorder="1" applyAlignment="1">
      <alignment horizontal="center"/>
    </xf>
    <xf numFmtId="0" fontId="4" fillId="30" borderId="21" xfId="0" applyFont="1" applyFill="1" applyBorder="1" applyAlignment="1">
      <alignment horizontal="center" wrapText="1"/>
    </xf>
    <xf numFmtId="9" fontId="0" fillId="0" borderId="14" xfId="72" applyNumberFormat="1" applyFont="1" applyFill="1" applyBorder="1" applyAlignment="1">
      <alignment horizontal="right"/>
    </xf>
    <xf numFmtId="9" fontId="4" fillId="0" borderId="21" xfId="72" applyNumberFormat="1" applyFont="1" applyFill="1" applyBorder="1" applyAlignment="1">
      <alignment horizontal="right"/>
    </xf>
    <xf numFmtId="9" fontId="4" fillId="0" borderId="29" xfId="72" applyNumberFormat="1" applyFont="1" applyFill="1" applyBorder="1" applyAlignment="1">
      <alignment horizontal="right"/>
    </xf>
    <xf numFmtId="9" fontId="0" fillId="0" borderId="16" xfId="72" applyNumberFormat="1" applyFont="1" applyFill="1" applyBorder="1" applyAlignment="1">
      <alignment horizontal="right"/>
    </xf>
    <xf numFmtId="0" fontId="0" fillId="31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1" fillId="29" borderId="23" xfId="0" applyNumberFormat="1" applyFont="1" applyFill="1" applyBorder="1" applyAlignment="1">
      <alignment horizontal="right"/>
    </xf>
    <xf numFmtId="3" fontId="1" fillId="29" borderId="24" xfId="0" applyNumberFormat="1" applyFont="1" applyFill="1" applyBorder="1" applyAlignment="1">
      <alignment horizontal="right"/>
    </xf>
    <xf numFmtId="3" fontId="14" fillId="29" borderId="23" xfId="0" applyNumberFormat="1" applyFont="1" applyFill="1" applyBorder="1" applyAlignment="1">
      <alignment horizontal="right"/>
    </xf>
    <xf numFmtId="9" fontId="0" fillId="0" borderId="47" xfId="72" applyFont="1" applyBorder="1" applyAlignment="1">
      <alignment horizontal="right"/>
    </xf>
    <xf numFmtId="9" fontId="0" fillId="0" borderId="39" xfId="72" applyFont="1" applyFill="1" applyBorder="1" applyAlignment="1">
      <alignment horizontal="right"/>
    </xf>
    <xf numFmtId="9" fontId="0" fillId="0" borderId="38" xfId="72" applyFont="1" applyFill="1" applyBorder="1" applyAlignment="1">
      <alignment horizontal="right"/>
    </xf>
    <xf numFmtId="9" fontId="4" fillId="0" borderId="61" xfId="72" applyFont="1" applyBorder="1" applyAlignment="1">
      <alignment horizontal="right"/>
    </xf>
    <xf numFmtId="9" fontId="0" fillId="0" borderId="0" xfId="72" applyFont="1" applyFill="1" applyBorder="1" applyAlignment="1">
      <alignment/>
    </xf>
    <xf numFmtId="9" fontId="1" fillId="0" borderId="27" xfId="72" applyFont="1" applyFill="1" applyBorder="1" applyAlignment="1">
      <alignment horizontal="right"/>
    </xf>
    <xf numFmtId="9" fontId="0" fillId="0" borderId="0" xfId="72" applyFont="1" applyFill="1" applyAlignment="1">
      <alignment/>
    </xf>
    <xf numFmtId="9" fontId="0" fillId="0" borderId="66" xfId="72" applyFont="1" applyFill="1" applyBorder="1" applyAlignment="1">
      <alignment horizontal="right"/>
    </xf>
    <xf numFmtId="9" fontId="0" fillId="0" borderId="57" xfId="72" applyFont="1" applyFill="1" applyBorder="1" applyAlignment="1">
      <alignment horizontal="right"/>
    </xf>
    <xf numFmtId="3" fontId="4" fillId="30" borderId="66" xfId="0" applyNumberFormat="1" applyFont="1" applyFill="1" applyBorder="1" applyAlignment="1">
      <alignment horizontal="center"/>
    </xf>
    <xf numFmtId="3" fontId="7" fillId="0" borderId="44" xfId="0" applyNumberFormat="1" applyFont="1" applyFill="1" applyBorder="1" applyAlignment="1">
      <alignment/>
    </xf>
    <xf numFmtId="9" fontId="14" fillId="0" borderId="13" xfId="72" applyFont="1" applyBorder="1" applyAlignment="1">
      <alignment horizontal="center"/>
    </xf>
    <xf numFmtId="9" fontId="14" fillId="0" borderId="15" xfId="72" applyFont="1" applyBorder="1" applyAlignment="1">
      <alignment horizontal="center"/>
    </xf>
    <xf numFmtId="9" fontId="14" fillId="0" borderId="13" xfId="72" applyFont="1" applyBorder="1" applyAlignment="1">
      <alignment/>
    </xf>
    <xf numFmtId="9" fontId="14" fillId="0" borderId="25" xfId="72" applyFont="1" applyFill="1" applyBorder="1" applyAlignment="1">
      <alignment/>
    </xf>
    <xf numFmtId="9" fontId="1" fillId="0" borderId="17" xfId="72" applyFont="1" applyFill="1" applyBorder="1" applyAlignment="1">
      <alignment horizontal="right"/>
    </xf>
    <xf numFmtId="9" fontId="1" fillId="0" borderId="17" xfId="72" applyFont="1" applyBorder="1" applyAlignment="1">
      <alignment horizontal="right"/>
    </xf>
    <xf numFmtId="9" fontId="14" fillId="0" borderId="25" xfId="72" applyFont="1" applyFill="1" applyBorder="1" applyAlignment="1">
      <alignment/>
    </xf>
    <xf numFmtId="9" fontId="1" fillId="0" borderId="13" xfId="72" applyFont="1" applyFill="1" applyBorder="1" applyAlignment="1">
      <alignment horizontal="right"/>
    </xf>
    <xf numFmtId="9" fontId="14" fillId="0" borderId="25" xfId="72" applyFont="1" applyBorder="1" applyAlignment="1">
      <alignment/>
    </xf>
    <xf numFmtId="9" fontId="1" fillId="0" borderId="14" xfId="72" applyFont="1" applyFill="1" applyBorder="1" applyAlignment="1">
      <alignment horizontal="right"/>
    </xf>
    <xf numFmtId="9" fontId="1" fillId="0" borderId="14" xfId="72" applyFont="1" applyBorder="1" applyAlignment="1">
      <alignment horizontal="right"/>
    </xf>
    <xf numFmtId="9" fontId="1" fillId="0" borderId="16" xfId="72" applyFont="1" applyBorder="1" applyAlignment="1">
      <alignment/>
    </xf>
    <xf numFmtId="9" fontId="1" fillId="0" borderId="14" xfId="72" applyFont="1" applyBorder="1" applyAlignment="1">
      <alignment/>
    </xf>
    <xf numFmtId="9" fontId="1" fillId="0" borderId="13" xfId="72" applyFont="1" applyBorder="1" applyAlignment="1">
      <alignment/>
    </xf>
    <xf numFmtId="9" fontId="1" fillId="0" borderId="14" xfId="72" applyFont="1" applyBorder="1" applyAlignment="1">
      <alignment/>
    </xf>
    <xf numFmtId="9" fontId="14" fillId="0" borderId="21" xfId="72" applyFont="1" applyFill="1" applyBorder="1" applyAlignment="1">
      <alignment/>
    </xf>
    <xf numFmtId="9" fontId="14" fillId="24" borderId="21" xfId="72" applyFont="1" applyFill="1" applyBorder="1" applyAlignment="1">
      <alignment/>
    </xf>
    <xf numFmtId="9" fontId="14" fillId="0" borderId="17" xfId="72" applyFont="1" applyFill="1" applyBorder="1" applyAlignment="1">
      <alignment horizontal="right"/>
    </xf>
    <xf numFmtId="9" fontId="14" fillId="0" borderId="14" xfId="72" applyFont="1" applyBorder="1" applyAlignment="1">
      <alignment horizontal="right"/>
    </xf>
    <xf numFmtId="9" fontId="14" fillId="0" borderId="13" xfId="72" applyFont="1" applyBorder="1" applyAlignment="1">
      <alignment horizontal="right"/>
    </xf>
    <xf numFmtId="9" fontId="1" fillId="0" borderId="14" xfId="72" applyFont="1" applyFill="1" applyBorder="1" applyAlignment="1">
      <alignment/>
    </xf>
    <xf numFmtId="9" fontId="14" fillId="24" borderId="29" xfId="72" applyFont="1" applyFill="1" applyBorder="1" applyAlignment="1">
      <alignment/>
    </xf>
    <xf numFmtId="9" fontId="14" fillId="25" borderId="15" xfId="72" applyFont="1" applyFill="1" applyBorder="1" applyAlignment="1">
      <alignment/>
    </xf>
    <xf numFmtId="9" fontId="1" fillId="0" borderId="0" xfId="72" applyFont="1" applyAlignment="1">
      <alignment/>
    </xf>
    <xf numFmtId="9" fontId="1" fillId="0" borderId="0" xfId="72" applyFont="1" applyFill="1" applyAlignment="1">
      <alignment/>
    </xf>
    <xf numFmtId="0" fontId="14" fillId="0" borderId="16" xfId="0" applyFont="1" applyBorder="1" applyAlignment="1">
      <alignment/>
    </xf>
    <xf numFmtId="0" fontId="14" fillId="0" borderId="12" xfId="0" applyFont="1" applyFill="1" applyBorder="1" applyAlignment="1">
      <alignment horizontal="left"/>
    </xf>
    <xf numFmtId="3" fontId="14" fillId="0" borderId="14" xfId="0" applyNumberFormat="1" applyFont="1" applyFill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9" fontId="14" fillId="0" borderId="14" xfId="72" applyFont="1" applyFill="1" applyBorder="1" applyAlignment="1">
      <alignment/>
    </xf>
    <xf numFmtId="9" fontId="4" fillId="0" borderId="22" xfId="72" applyFont="1" applyBorder="1" applyAlignment="1">
      <alignment horizontal="center" wrapText="1"/>
    </xf>
    <xf numFmtId="9" fontId="4" fillId="30" borderId="21" xfId="72" applyFont="1" applyFill="1" applyBorder="1" applyAlignment="1">
      <alignment horizontal="center" wrapText="1"/>
    </xf>
    <xf numFmtId="9" fontId="0" fillId="0" borderId="32" xfId="72" applyFont="1" applyFill="1" applyBorder="1" applyAlignment="1">
      <alignment/>
    </xf>
    <xf numFmtId="9" fontId="4" fillId="0" borderId="14" xfId="72" applyFont="1" applyFill="1" applyBorder="1" applyAlignment="1">
      <alignment/>
    </xf>
    <xf numFmtId="9" fontId="4" fillId="0" borderId="13" xfId="72" applyFont="1" applyFill="1" applyBorder="1" applyAlignment="1">
      <alignment/>
    </xf>
    <xf numFmtId="9" fontId="4" fillId="0" borderId="33" xfId="72" applyFont="1" applyFill="1" applyBorder="1" applyAlignment="1">
      <alignment/>
    </xf>
    <xf numFmtId="9" fontId="9" fillId="0" borderId="21" xfId="72" applyFont="1" applyFill="1" applyBorder="1" applyAlignment="1">
      <alignment/>
    </xf>
    <xf numFmtId="170" fontId="14" fillId="0" borderId="15" xfId="40" applyNumberFormat="1" applyFont="1" applyBorder="1" applyAlignment="1">
      <alignment/>
    </xf>
    <xf numFmtId="170" fontId="14" fillId="0" borderId="21" xfId="40" applyNumberFormat="1" applyFont="1" applyFill="1" applyBorder="1" applyAlignment="1">
      <alignment/>
    </xf>
    <xf numFmtId="0" fontId="7" fillId="30" borderId="44" xfId="0" applyFont="1" applyFill="1" applyBorder="1" applyAlignment="1">
      <alignment horizontal="center"/>
    </xf>
    <xf numFmtId="0" fontId="14" fillId="30" borderId="32" xfId="0" applyFont="1" applyFill="1" applyBorder="1" applyAlignment="1">
      <alignment horizontal="center" wrapText="1"/>
    </xf>
    <xf numFmtId="166" fontId="14" fillId="34" borderId="66" xfId="0" applyNumberFormat="1" applyFont="1" applyFill="1" applyBorder="1" applyAlignment="1">
      <alignment/>
    </xf>
    <xf numFmtId="166" fontId="14" fillId="34" borderId="57" xfId="0" applyNumberFormat="1" applyFont="1" applyFill="1" applyBorder="1" applyAlignment="1">
      <alignment/>
    </xf>
    <xf numFmtId="9" fontId="1" fillId="0" borderId="17" xfId="72" applyFont="1" applyBorder="1" applyAlignment="1">
      <alignment horizontal="right"/>
    </xf>
    <xf numFmtId="9" fontId="14" fillId="0" borderId="23" xfId="72" applyFont="1" applyFill="1" applyBorder="1" applyAlignment="1">
      <alignment horizontal="right"/>
    </xf>
    <xf numFmtId="9" fontId="1" fillId="0" borderId="24" xfId="72" applyFont="1" applyFill="1" applyBorder="1" applyAlignment="1">
      <alignment horizontal="right"/>
    </xf>
    <xf numFmtId="9" fontId="1" fillId="30" borderId="23" xfId="72" applyFont="1" applyFill="1" applyBorder="1" applyAlignment="1">
      <alignment horizontal="right"/>
    </xf>
    <xf numFmtId="9" fontId="1" fillId="0" borderId="23" xfId="72" applyFont="1" applyFill="1" applyBorder="1" applyAlignment="1">
      <alignment horizontal="right"/>
    </xf>
    <xf numFmtId="9" fontId="14" fillId="26" borderId="21" xfId="72" applyFont="1" applyFill="1" applyBorder="1" applyAlignment="1">
      <alignment horizontal="right"/>
    </xf>
    <xf numFmtId="9" fontId="1" fillId="0" borderId="23" xfId="72" applyFont="1" applyFill="1" applyBorder="1" applyAlignment="1">
      <alignment horizontal="right"/>
    </xf>
    <xf numFmtId="9" fontId="1" fillId="0" borderId="36" xfId="72" applyFont="1" applyFill="1" applyBorder="1" applyAlignment="1">
      <alignment horizontal="right"/>
    </xf>
    <xf numFmtId="9" fontId="1" fillId="0" borderId="36" xfId="72" applyFont="1" applyFill="1" applyBorder="1" applyAlignment="1">
      <alignment horizontal="right"/>
    </xf>
    <xf numFmtId="9" fontId="14" fillId="0" borderId="21" xfId="72" applyFont="1" applyFill="1" applyBorder="1" applyAlignment="1">
      <alignment horizontal="right"/>
    </xf>
    <xf numFmtId="9" fontId="14" fillId="25" borderId="37" xfId="72" applyFont="1" applyFill="1" applyBorder="1" applyAlignment="1">
      <alignment horizontal="right"/>
    </xf>
    <xf numFmtId="9" fontId="1" fillId="0" borderId="77" xfId="72" applyFont="1" applyFill="1" applyBorder="1" applyAlignment="1">
      <alignment/>
    </xf>
    <xf numFmtId="9" fontId="14" fillId="0" borderId="66" xfId="72" applyFont="1" applyFill="1" applyBorder="1" applyAlignment="1">
      <alignment/>
    </xf>
    <xf numFmtId="9" fontId="14" fillId="0" borderId="57" xfId="72" applyFont="1" applyFill="1" applyBorder="1" applyAlignment="1">
      <alignment/>
    </xf>
    <xf numFmtId="0" fontId="17" fillId="0" borderId="58" xfId="0" applyFont="1" applyBorder="1" applyAlignment="1">
      <alignment horizontal="left"/>
    </xf>
    <xf numFmtId="0" fontId="17" fillId="0" borderId="60" xfId="0" applyFont="1" applyBorder="1" applyAlignment="1">
      <alignment horizontal="left"/>
    </xf>
    <xf numFmtId="9" fontId="0" fillId="0" borderId="21" xfId="72" applyNumberFormat="1" applyFont="1" applyFill="1" applyBorder="1" applyAlignment="1">
      <alignment horizontal="right"/>
    </xf>
    <xf numFmtId="3" fontId="19" fillId="0" borderId="40" xfId="0" applyNumberFormat="1" applyFont="1" applyBorder="1" applyAlignment="1">
      <alignment horizontal="right"/>
    </xf>
    <xf numFmtId="3" fontId="19" fillId="0" borderId="106" xfId="0" applyNumberFormat="1" applyFont="1" applyBorder="1" applyAlignment="1">
      <alignment/>
    </xf>
    <xf numFmtId="3" fontId="19" fillId="0" borderId="63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9" fontId="7" fillId="0" borderId="44" xfId="72" applyFont="1" applyBorder="1" applyAlignment="1">
      <alignment/>
    </xf>
    <xf numFmtId="9" fontId="7" fillId="0" borderId="61" xfId="72" applyFont="1" applyBorder="1" applyAlignment="1">
      <alignment/>
    </xf>
    <xf numFmtId="9" fontId="6" fillId="0" borderId="47" xfId="72" applyFont="1" applyBorder="1" applyAlignment="1">
      <alignment/>
    </xf>
    <xf numFmtId="9" fontId="6" fillId="0" borderId="39" xfId="72" applyFont="1" applyBorder="1" applyAlignment="1">
      <alignment/>
    </xf>
    <xf numFmtId="9" fontId="19" fillId="0" borderId="39" xfId="72" applyFont="1" applyFill="1" applyBorder="1" applyAlignment="1">
      <alignment/>
    </xf>
    <xf numFmtId="9" fontId="19" fillId="0" borderId="39" xfId="72" applyFont="1" applyBorder="1" applyAlignment="1">
      <alignment/>
    </xf>
    <xf numFmtId="9" fontId="19" fillId="28" borderId="39" xfId="72" applyFont="1" applyFill="1" applyBorder="1" applyAlignment="1">
      <alignment/>
    </xf>
    <xf numFmtId="9" fontId="19" fillId="0" borderId="47" xfId="72" applyFont="1" applyBorder="1" applyAlignment="1">
      <alignment/>
    </xf>
    <xf numFmtId="9" fontId="7" fillId="0" borderId="61" xfId="72" applyFont="1" applyFill="1" applyBorder="1" applyAlignment="1">
      <alignment/>
    </xf>
    <xf numFmtId="9" fontId="19" fillId="0" borderId="66" xfId="72" applyFont="1" applyBorder="1" applyAlignment="1">
      <alignment/>
    </xf>
    <xf numFmtId="9" fontId="6" fillId="27" borderId="47" xfId="72" applyFont="1" applyFill="1" applyBorder="1" applyAlignment="1">
      <alignment/>
    </xf>
    <xf numFmtId="9" fontId="19" fillId="28" borderId="47" xfId="72" applyFont="1" applyFill="1" applyBorder="1" applyAlignment="1">
      <alignment/>
    </xf>
    <xf numFmtId="9" fontId="6" fillId="27" borderId="39" xfId="72" applyFont="1" applyFill="1" applyBorder="1" applyAlignment="1">
      <alignment/>
    </xf>
    <xf numFmtId="9" fontId="6" fillId="27" borderId="57" xfId="72" applyFont="1" applyFill="1" applyBorder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wrapText="1"/>
    </xf>
    <xf numFmtId="2" fontId="4" fillId="0" borderId="59" xfId="0" applyNumberFormat="1" applyFont="1" applyBorder="1" applyAlignment="1">
      <alignment horizontal="center" wrapText="1"/>
    </xf>
    <xf numFmtId="2" fontId="4" fillId="0" borderId="37" xfId="0" applyNumberFormat="1" applyFont="1" applyBorder="1" applyAlignment="1">
      <alignment horizontal="center" wrapText="1"/>
    </xf>
    <xf numFmtId="0" fontId="38" fillId="29" borderId="107" xfId="59" applyFont="1" applyFill="1" applyBorder="1" applyAlignment="1">
      <alignment horizontal="center"/>
      <protection/>
    </xf>
    <xf numFmtId="0" fontId="38" fillId="29" borderId="108" xfId="59" applyFont="1" applyFill="1" applyBorder="1" applyAlignment="1">
      <alignment horizontal="center"/>
      <protection/>
    </xf>
    <xf numFmtId="0" fontId="4" fillId="0" borderId="22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37" xfId="0" applyFont="1" applyBorder="1" applyAlignment="1">
      <alignment horizontal="center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Normál 2" xfId="59"/>
    <cellStyle name="Normál 2 2" xfId="60"/>
    <cellStyle name="Normál 2_működési felhalmozási mérleg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2\2012_p&#225;ly&#225;zat_n&#233;lk&#252;l\PolgHiv_k&#246;lts&#233;gvet&#233;s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2\2012_p&#225;ly&#225;zat_n&#233;lk&#252;l\febr14\PolgHiv_k&#246;lts&#233;gvet&#233;s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. Intézményösszesítő"/>
      <sheetName val="2.sz. Szakfeladat összesítő"/>
      <sheetName val="3.sz. mell.100-3700001"/>
      <sheetName val="3.sz. mell.100-4211001"/>
      <sheetName val="3.sz. mell.100-3811031"/>
      <sheetName val="3.sz. mell.100-4221001"/>
      <sheetName val="3.sz. mell.100-5221101"/>
      <sheetName val="3.sz. mell.100-6820011"/>
      <sheetName val="3.sz. mell.100-6820021"/>
      <sheetName val="3.sz. mell.100-8411261"/>
      <sheetName val="3.sz. mell.100-8412251"/>
      <sheetName val="3.sz. mell.100-8411275"/>
      <sheetName val="3.sz. mell.100-8414021"/>
      <sheetName val="3.sz. mell.100-8414031"/>
      <sheetName val="3.sz. mell.100-8424211"/>
      <sheetName val="3.sz. mell.100-8411541"/>
      <sheetName val="3.sz. mell.100-8411121"/>
      <sheetName val="3.sz. mell.100-8690411"/>
      <sheetName val="3.sz. mell.100-8690425"/>
      <sheetName val="3.sz. mell.100-8821225"/>
      <sheetName val="3.sz. mell.100-8892011"/>
      <sheetName val="3.sz. mell.100-8899221"/>
      <sheetName val="3.sz. mell.100-8899231"/>
      <sheetName val="3.sz. mell.100-8899241"/>
      <sheetName val="3.sz. mell.100-pe-átadás"/>
      <sheetName val="3.sz. mell.100-8904411"/>
      <sheetName val="3.sz. mell.100-9312065"/>
      <sheetName val="3.sz. mell.100-8891011"/>
      <sheetName val="3.sz. mell.100-9603021"/>
      <sheetName val="3.sz. mell.100-882szociális-ÖNK"/>
      <sheetName val="3.sz. mell.100-8419019"/>
      <sheetName val="3.sz. mell.100-882szociális-PH"/>
    </sheetNames>
    <sheetDataSet>
      <sheetData sheetId="1">
        <row r="30">
          <cell r="AK30">
            <v>1270</v>
          </cell>
        </row>
        <row r="32">
          <cell r="AK32">
            <v>51957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. Intézményösszesítő"/>
      <sheetName val="2.sz. Szakfeladat összesítő"/>
      <sheetName val="3.sz. mell.100-3700001"/>
      <sheetName val="3.sz. mell.100-4211001"/>
      <sheetName val="3.sz. mell.100-3811031"/>
      <sheetName val="3.sz. mell.100-4221001"/>
      <sheetName val="3.sz. mell.100-5221101"/>
      <sheetName val="3.sz. mell.100-6820011"/>
      <sheetName val="3.sz. mell.100-6820021"/>
      <sheetName val="3.sz. mell.100-8411261"/>
      <sheetName val="3.sz. mell.100-8412251"/>
      <sheetName val="3.sz. mell.100-8411275"/>
      <sheetName val="3.sz. mell.100-8414021"/>
      <sheetName val="3.sz. mell.100-8414031"/>
      <sheetName val="3.sz. mell.100-8424211"/>
      <sheetName val="3.sz. mell.100-8411541"/>
      <sheetName val="3.sz. mell.100-8411121"/>
      <sheetName val="3.sz. mell.100-8690411"/>
      <sheetName val="3.sz. mell.100-8690425"/>
      <sheetName val="3.sz. mell.100-8821225"/>
      <sheetName val="3.sz. mell.100-8892011"/>
      <sheetName val="3.sz. mell.100-8899221"/>
      <sheetName val="3.sz. mell.100-8899231"/>
      <sheetName val="3.sz. mell.100-8899241"/>
      <sheetName val="3.sz. mell.100-pe-átadás"/>
      <sheetName val="3.sz. mell.100-8904411"/>
      <sheetName val="3.sz. mell.100-9312065"/>
      <sheetName val="3.sz. mell.100-8891011"/>
      <sheetName val="3.sz. mell.100-9603021"/>
      <sheetName val="3.sz. mell.100-882szociális-ÖNK"/>
      <sheetName val="3.sz. mell.100-8419019"/>
      <sheetName val="3.sz. mell.100-882szociális-PH"/>
    </sheetNames>
    <sheetDataSet>
      <sheetData sheetId="1">
        <row r="7">
          <cell r="AK7">
            <v>113360.2</v>
          </cell>
        </row>
        <row r="16">
          <cell r="AK16">
            <v>92219.78</v>
          </cell>
        </row>
        <row r="23">
          <cell r="AK23">
            <v>9958</v>
          </cell>
        </row>
        <row r="27">
          <cell r="AK27">
            <v>11870</v>
          </cell>
        </row>
        <row r="37">
          <cell r="AK37">
            <v>10548</v>
          </cell>
        </row>
        <row r="41">
          <cell r="AK41">
            <v>0</v>
          </cell>
        </row>
        <row r="42">
          <cell r="AK42">
            <v>0</v>
          </cell>
        </row>
        <row r="49">
          <cell r="AK49">
            <v>621</v>
          </cell>
        </row>
        <row r="50">
          <cell r="AK50">
            <v>0</v>
          </cell>
        </row>
        <row r="75">
          <cell r="AK75">
            <v>120</v>
          </cell>
        </row>
        <row r="92">
          <cell r="AK92">
            <v>1271</v>
          </cell>
        </row>
        <row r="147">
          <cell r="AK147">
            <v>0</v>
          </cell>
        </row>
        <row r="151">
          <cell r="AK151">
            <v>3476.6962143709097</v>
          </cell>
        </row>
        <row r="160">
          <cell r="AK160">
            <v>99481.92973000728</v>
          </cell>
        </row>
        <row r="199">
          <cell r="AK199">
            <v>156.29999999999995</v>
          </cell>
        </row>
        <row r="207">
          <cell r="AK207">
            <v>10710.192</v>
          </cell>
        </row>
        <row r="215">
          <cell r="AK215">
            <v>225.25</v>
          </cell>
        </row>
        <row r="245">
          <cell r="AK245">
            <v>12447.0771309091</v>
          </cell>
        </row>
        <row r="247">
          <cell r="AK247">
            <v>0</v>
          </cell>
        </row>
        <row r="249">
          <cell r="AK249">
            <v>40482.990000000005</v>
          </cell>
        </row>
        <row r="281">
          <cell r="AK281">
            <v>9786</v>
          </cell>
        </row>
        <row r="301">
          <cell r="AK301">
            <v>4500</v>
          </cell>
        </row>
        <row r="302">
          <cell r="AK302">
            <v>32410</v>
          </cell>
        </row>
        <row r="303">
          <cell r="AK303">
            <v>108601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L43"/>
  <sheetViews>
    <sheetView tabSelected="1" zoomScale="90" zoomScaleNormal="90" workbookViewId="0" topLeftCell="A1">
      <selection activeCell="P10" sqref="P10"/>
    </sheetView>
  </sheetViews>
  <sheetFormatPr defaultColWidth="9.140625" defaultRowHeight="12.75"/>
  <cols>
    <col min="1" max="1" width="5.57421875" style="0" customWidth="1"/>
    <col min="2" max="2" width="35.57421875" style="0" bestFit="1" customWidth="1"/>
    <col min="3" max="3" width="13.28125" style="0" hidden="1" customWidth="1"/>
    <col min="4" max="5" width="15.00390625" style="0" customWidth="1"/>
    <col min="6" max="6" width="19.57421875" style="0" bestFit="1" customWidth="1"/>
    <col min="7" max="10" width="15.00390625" style="0" customWidth="1"/>
    <col min="11" max="12" width="15.00390625" style="0" hidden="1" customWidth="1"/>
  </cols>
  <sheetData>
    <row r="1" spans="1:12" ht="12.75">
      <c r="A1" s="184"/>
      <c r="B1" s="185"/>
      <c r="C1" s="224" t="s">
        <v>150</v>
      </c>
      <c r="D1" s="225" t="s">
        <v>151</v>
      </c>
      <c r="E1" s="225" t="s">
        <v>343</v>
      </c>
      <c r="F1" s="225" t="s">
        <v>338</v>
      </c>
      <c r="G1" s="225" t="s">
        <v>400</v>
      </c>
      <c r="H1" s="225" t="s">
        <v>401</v>
      </c>
      <c r="I1" s="522" t="s">
        <v>383</v>
      </c>
      <c r="J1" s="522" t="s">
        <v>384</v>
      </c>
      <c r="K1" s="225" t="s">
        <v>363</v>
      </c>
      <c r="L1" s="225" t="s">
        <v>356</v>
      </c>
    </row>
    <row r="2" spans="1:12" ht="42" customHeight="1" thickBot="1">
      <c r="A2" s="186"/>
      <c r="B2" s="187" t="s">
        <v>7</v>
      </c>
      <c r="C2" s="187" t="s">
        <v>152</v>
      </c>
      <c r="D2" s="218" t="s">
        <v>153</v>
      </c>
      <c r="E2" s="218" t="s">
        <v>153</v>
      </c>
      <c r="F2" s="218" t="s">
        <v>153</v>
      </c>
      <c r="G2" s="218" t="s">
        <v>153</v>
      </c>
      <c r="H2" s="218" t="s">
        <v>153</v>
      </c>
      <c r="I2" s="218"/>
      <c r="J2" s="218"/>
      <c r="K2" s="218" t="s">
        <v>153</v>
      </c>
      <c r="L2" s="218" t="s">
        <v>153</v>
      </c>
    </row>
    <row r="3" spans="1:12" ht="13.5" thickBot="1">
      <c r="A3" s="188">
        <v>2</v>
      </c>
      <c r="B3" s="213" t="s">
        <v>163</v>
      </c>
      <c r="C3" s="190">
        <f>SUM(C5:C8,C16:C20)</f>
        <v>0</v>
      </c>
      <c r="D3" s="191">
        <f>+D5+D6+D7+D8+D15+D16+D17+D20</f>
        <v>1187866.12</v>
      </c>
      <c r="E3" s="191">
        <f>+E5+E6+E7+E8+E15+E16+E17+E20</f>
        <v>27836</v>
      </c>
      <c r="F3" s="191">
        <f>+D3+E3</f>
        <v>1215702.12</v>
      </c>
      <c r="G3" s="191">
        <f>+G5+G6+G7+G8+G15+G16+G17+G20</f>
        <v>60349</v>
      </c>
      <c r="H3" s="191">
        <f>+H5+H6+H7+H8+H15+H16+H17+H20</f>
        <v>1276051.12</v>
      </c>
      <c r="I3" s="191">
        <f>+I5+I6+I7+I8+I15+I16+I17+I20+I21</f>
        <v>718470</v>
      </c>
      <c r="J3" s="548">
        <f>+I3/H3</f>
        <v>0.5630417063542094</v>
      </c>
      <c r="K3" s="481">
        <f>+K5+K6+K7+K8+K15+K16+K17+K20</f>
        <v>283224</v>
      </c>
      <c r="L3" s="481">
        <f>+H3+K3</f>
        <v>1559275.12</v>
      </c>
    </row>
    <row r="4" spans="1:12" ht="47.25" customHeight="1" thickBot="1">
      <c r="A4" s="226"/>
      <c r="B4" s="227" t="s">
        <v>193</v>
      </c>
      <c r="C4" s="228">
        <f>+C3-C11-C9</f>
        <v>0</v>
      </c>
      <c r="D4" s="229">
        <f>+D3-D11</f>
        <v>1187866.12</v>
      </c>
      <c r="E4" s="229">
        <f>+E3-E11</f>
        <v>27836</v>
      </c>
      <c r="F4" s="229">
        <f aca="true" t="shared" si="0" ref="F4:F37">+D4+E4</f>
        <v>1215702.12</v>
      </c>
      <c r="G4" s="229">
        <f>+G3-G11</f>
        <v>60349</v>
      </c>
      <c r="H4" s="229">
        <f>+H3-H11</f>
        <v>1276051.12</v>
      </c>
      <c r="I4" s="229">
        <f>+I3-I11</f>
        <v>718470</v>
      </c>
      <c r="J4" s="549">
        <f aca="true" t="shared" si="1" ref="J4:J37">+I4/H4</f>
        <v>0.5630417063542094</v>
      </c>
      <c r="K4" s="229">
        <f>+K3-K11</f>
        <v>283224</v>
      </c>
      <c r="L4" s="229">
        <f>+H4+K4</f>
        <v>1559275.12</v>
      </c>
    </row>
    <row r="5" spans="1:12" ht="12.75">
      <c r="A5" s="192">
        <v>21</v>
      </c>
      <c r="B5" s="214" t="s">
        <v>8</v>
      </c>
      <c r="C5" s="193"/>
      <c r="D5" s="195">
        <f>+'2.sz.m.Bevételek'!G6</f>
        <v>64893.12</v>
      </c>
      <c r="E5" s="195">
        <f>+'2.sz.m.Bevételek'!H6</f>
        <v>0</v>
      </c>
      <c r="F5" s="195">
        <f t="shared" si="0"/>
        <v>64893.12</v>
      </c>
      <c r="G5" s="195">
        <f>+'2.sz.m.Bevételek'!J6</f>
        <v>0</v>
      </c>
      <c r="H5" s="195">
        <f>+'2.sz.m.Bevételek'!K6</f>
        <v>64893.12</v>
      </c>
      <c r="I5" s="195">
        <f>+'2.sz.m.Bevételek'!L6</f>
        <v>15017</v>
      </c>
      <c r="J5" s="550">
        <f t="shared" si="1"/>
        <v>0.23141128057951288</v>
      </c>
      <c r="K5" s="195">
        <f>+'2.sz.m.Bevételek'!N6</f>
        <v>0</v>
      </c>
      <c r="L5" s="195">
        <f>+H5+K5</f>
        <v>64893.12</v>
      </c>
    </row>
    <row r="6" spans="1:12" ht="12.75">
      <c r="A6" s="196">
        <v>22</v>
      </c>
      <c r="B6" s="197" t="s">
        <v>164</v>
      </c>
      <c r="C6" s="198"/>
      <c r="D6" s="195">
        <f>+'2.sz.m.Bevételek'!G12+'2.sz.m.Bevételek'!G22</f>
        <v>332030</v>
      </c>
      <c r="E6" s="195">
        <f>+'2.sz.m.Bevételek'!H12+'2.sz.m.Bevételek'!H22</f>
        <v>10000</v>
      </c>
      <c r="F6" s="195">
        <f t="shared" si="0"/>
        <v>342030</v>
      </c>
      <c r="G6" s="195">
        <f>+'2.sz.m.Bevételek'!J12+'2.sz.m.Bevételek'!J22</f>
        <v>0</v>
      </c>
      <c r="H6" s="195">
        <f>+'2.sz.m.Bevételek'!K12+'2.sz.m.Bevételek'!K22</f>
        <v>342030</v>
      </c>
      <c r="I6" s="195">
        <f>+'2.sz.m.Bevételek'!L12+'2.sz.m.Bevételek'!L22</f>
        <v>272232</v>
      </c>
      <c r="J6" s="550">
        <f t="shared" si="1"/>
        <v>0.7959301815630208</v>
      </c>
      <c r="K6" s="195">
        <f>+'2.sz.m.Bevételek'!N12+'2.sz.m.Bevételek'!N22</f>
        <v>28100</v>
      </c>
      <c r="L6" s="195">
        <f aca="true" t="shared" si="2" ref="L6:L22">+H6+K6</f>
        <v>370130</v>
      </c>
    </row>
    <row r="7" spans="1:12" ht="12.75">
      <c r="A7" s="196">
        <v>23</v>
      </c>
      <c r="B7" s="197" t="s">
        <v>132</v>
      </c>
      <c r="C7" s="198"/>
      <c r="D7" s="195">
        <f>+'2.sz.m.Bevételek'!G49</f>
        <v>149937</v>
      </c>
      <c r="E7" s="195">
        <f>+'2.sz.m.Bevételek'!H49</f>
        <v>0</v>
      </c>
      <c r="F7" s="195">
        <f t="shared" si="0"/>
        <v>149937</v>
      </c>
      <c r="G7" s="195">
        <f>+'2.sz.m.Bevételek'!J49</f>
        <v>0</v>
      </c>
      <c r="H7" s="195">
        <f>+'2.sz.m.Bevételek'!K49</f>
        <v>149937</v>
      </c>
      <c r="I7" s="195">
        <f>+'2.sz.m.Bevételek'!L49</f>
        <v>575</v>
      </c>
      <c r="J7" s="550">
        <f t="shared" si="1"/>
        <v>0.0038349440098174566</v>
      </c>
      <c r="K7" s="195">
        <f>+'2.sz.m.Bevételek'!N49</f>
        <v>0</v>
      </c>
      <c r="L7" s="195">
        <f t="shared" si="2"/>
        <v>149937</v>
      </c>
    </row>
    <row r="8" spans="1:12" ht="12.75">
      <c r="A8" s="215">
        <v>24</v>
      </c>
      <c r="B8" s="199" t="s">
        <v>165</v>
      </c>
      <c r="C8" s="198">
        <f>SUM(C9:C14)</f>
        <v>0</v>
      </c>
      <c r="D8" s="200">
        <f>SUM(D9:D14)</f>
        <v>570665</v>
      </c>
      <c r="E8" s="200">
        <f>SUM(E9:E14)</f>
        <v>3047</v>
      </c>
      <c r="F8" s="200">
        <f t="shared" si="0"/>
        <v>573712</v>
      </c>
      <c r="G8" s="200">
        <f>SUM(G9:G14)</f>
        <v>60349</v>
      </c>
      <c r="H8" s="200">
        <f>SUM(H9:H14)</f>
        <v>634061</v>
      </c>
      <c r="I8" s="200">
        <f>SUM(I9:I14)</f>
        <v>389153</v>
      </c>
      <c r="J8" s="551">
        <f t="shared" si="1"/>
        <v>0.6137469423288926</v>
      </c>
      <c r="K8" s="200">
        <f>SUM(K9:K14)</f>
        <v>227085</v>
      </c>
      <c r="L8" s="200">
        <f t="shared" si="2"/>
        <v>861146</v>
      </c>
    </row>
    <row r="9" spans="1:12" ht="12.75">
      <c r="A9" s="216">
        <v>241</v>
      </c>
      <c r="B9" s="203" t="s">
        <v>194</v>
      </c>
      <c r="C9" s="204"/>
      <c r="D9" s="317">
        <f>'2.sz.m.Bevételek'!G$30+'2.sz.m.Bevételek'!G$19</f>
        <v>363531</v>
      </c>
      <c r="E9" s="317">
        <f>'2.sz.m.Bevételek'!H$30+'2.sz.m.Bevételek'!H$19</f>
        <v>3047</v>
      </c>
      <c r="F9" s="317">
        <f t="shared" si="0"/>
        <v>366578</v>
      </c>
      <c r="G9" s="317">
        <f>'2.sz.m.Bevételek'!J$30+'2.sz.m.Bevételek'!J$19</f>
        <v>60349</v>
      </c>
      <c r="H9" s="317">
        <f>'2.sz.m.Bevételek'!K$30+'2.sz.m.Bevételek'!K$19</f>
        <v>426927</v>
      </c>
      <c r="I9" s="317">
        <f>'2.sz.m.Bevételek'!L$30+'2.sz.m.Bevételek'!L$19</f>
        <v>252524</v>
      </c>
      <c r="J9" s="552">
        <f t="shared" si="1"/>
        <v>0.5914922223237228</v>
      </c>
      <c r="K9" s="317">
        <f>'2.sz.m.Bevételek'!N$30+'2.sz.m.Bevételek'!N$19</f>
        <v>0</v>
      </c>
      <c r="L9" s="317">
        <f t="shared" si="2"/>
        <v>426927</v>
      </c>
    </row>
    <row r="10" spans="1:12" ht="12.75">
      <c r="A10" s="216">
        <v>242</v>
      </c>
      <c r="B10" s="203" t="s">
        <v>247</v>
      </c>
      <c r="C10" s="204"/>
      <c r="D10" s="207">
        <f>+'2.sz.m.Bevételek'!G21</f>
        <v>66000</v>
      </c>
      <c r="E10" s="207">
        <f>+'2.sz.m.Bevételek'!H21</f>
        <v>0</v>
      </c>
      <c r="F10" s="207">
        <f t="shared" si="0"/>
        <v>66000</v>
      </c>
      <c r="G10" s="207">
        <f>+'2.sz.m.Bevételek'!J21</f>
        <v>0</v>
      </c>
      <c r="H10" s="207">
        <f>+'2.sz.m.Bevételek'!K21</f>
        <v>66000</v>
      </c>
      <c r="I10" s="207">
        <f>+'2.sz.m.Bevételek'!L21</f>
        <v>32426</v>
      </c>
      <c r="J10" s="553">
        <f t="shared" si="1"/>
        <v>0.4913030303030303</v>
      </c>
      <c r="K10" s="207">
        <f>+'2.sz.m.Bevételek'!N21</f>
        <v>0</v>
      </c>
      <c r="L10" s="207">
        <f t="shared" si="2"/>
        <v>66000</v>
      </c>
    </row>
    <row r="11" spans="1:12" ht="12.75">
      <c r="A11" s="202">
        <v>243</v>
      </c>
      <c r="B11" s="217" t="s">
        <v>157</v>
      </c>
      <c r="C11" s="204"/>
      <c r="D11" s="238"/>
      <c r="E11" s="238"/>
      <c r="F11" s="238">
        <f t="shared" si="0"/>
        <v>0</v>
      </c>
      <c r="G11" s="238"/>
      <c r="H11" s="238"/>
      <c r="I11" s="238"/>
      <c r="J11" s="554"/>
      <c r="K11" s="238"/>
      <c r="L11" s="238">
        <f t="shared" si="2"/>
        <v>0</v>
      </c>
    </row>
    <row r="12" spans="1:12" ht="12.75">
      <c r="A12" s="216">
        <v>244</v>
      </c>
      <c r="B12" s="203" t="s">
        <v>192</v>
      </c>
      <c r="C12" s="206"/>
      <c r="D12" s="207">
        <f>+'2.sz.m.Bevételek'!G36</f>
        <v>14480</v>
      </c>
      <c r="E12" s="207">
        <f>+'2.sz.m.Bevételek'!H36</f>
        <v>0</v>
      </c>
      <c r="F12" s="207">
        <f t="shared" si="0"/>
        <v>14480</v>
      </c>
      <c r="G12" s="207">
        <f>+'2.sz.m.Bevételek'!J36</f>
        <v>0</v>
      </c>
      <c r="H12" s="207">
        <f>+'2.sz.m.Bevételek'!K36</f>
        <v>14480</v>
      </c>
      <c r="I12" s="207">
        <f>+'2.sz.m.Bevételek'!L36</f>
        <v>11061</v>
      </c>
      <c r="J12" s="553">
        <f t="shared" si="1"/>
        <v>0.7638812154696133</v>
      </c>
      <c r="K12" s="207">
        <f>+'2.sz.m.Bevételek'!N36</f>
        <v>0</v>
      </c>
      <c r="L12" s="207">
        <f t="shared" si="2"/>
        <v>14480</v>
      </c>
    </row>
    <row r="13" spans="1:12" ht="12.75">
      <c r="A13" s="216">
        <v>245</v>
      </c>
      <c r="B13" s="203" t="s">
        <v>166</v>
      </c>
      <c r="C13" s="204"/>
      <c r="D13" s="207"/>
      <c r="E13" s="207"/>
      <c r="F13" s="207">
        <f t="shared" si="0"/>
        <v>0</v>
      </c>
      <c r="G13" s="207"/>
      <c r="H13" s="207"/>
      <c r="I13" s="207"/>
      <c r="J13" s="553"/>
      <c r="K13" s="207"/>
      <c r="L13" s="207">
        <f t="shared" si="2"/>
        <v>0</v>
      </c>
    </row>
    <row r="14" spans="1:12" ht="12.75">
      <c r="A14" s="209">
        <v>246</v>
      </c>
      <c r="B14" s="203" t="s">
        <v>167</v>
      </c>
      <c r="C14" s="204"/>
      <c r="D14" s="220">
        <f>+'2.sz.m.Bevételek'!G51</f>
        <v>126654</v>
      </c>
      <c r="E14" s="220">
        <f>+'2.sz.m.Bevételek'!H51</f>
        <v>0</v>
      </c>
      <c r="F14" s="220">
        <f t="shared" si="0"/>
        <v>126654</v>
      </c>
      <c r="G14" s="220">
        <f>+'2.sz.m.Bevételek'!J51</f>
        <v>0</v>
      </c>
      <c r="H14" s="220">
        <f>+'2.sz.m.Bevételek'!K51</f>
        <v>126654</v>
      </c>
      <c r="I14" s="220">
        <f>+'2.sz.m.Bevételek'!L51</f>
        <v>93142</v>
      </c>
      <c r="J14" s="555">
        <f t="shared" si="1"/>
        <v>0.7354051194593143</v>
      </c>
      <c r="K14" s="220">
        <f>+'2.sz.m.Bevételek'!N51</f>
        <v>227085</v>
      </c>
      <c r="L14" s="220">
        <f t="shared" si="2"/>
        <v>353739</v>
      </c>
    </row>
    <row r="15" spans="1:12" ht="12.75">
      <c r="A15" s="209">
        <v>25</v>
      </c>
      <c r="B15" s="203" t="s">
        <v>141</v>
      </c>
      <c r="C15" s="204"/>
      <c r="D15" s="220">
        <f>+'2.sz.m.Bevételek'!G50</f>
        <v>60341</v>
      </c>
      <c r="E15" s="220">
        <f>+'2.sz.m.Bevételek'!H50</f>
        <v>0</v>
      </c>
      <c r="F15" s="220">
        <f t="shared" si="0"/>
        <v>60341</v>
      </c>
      <c r="G15" s="220">
        <f>+'2.sz.m.Bevételek'!J50</f>
        <v>0</v>
      </c>
      <c r="H15" s="220">
        <f>+'2.sz.m.Bevételek'!K50</f>
        <v>60341</v>
      </c>
      <c r="I15" s="220">
        <f>+'2.sz.m.Bevételek'!L50</f>
        <v>28611</v>
      </c>
      <c r="J15" s="555">
        <f t="shared" si="1"/>
        <v>0.47415521784524617</v>
      </c>
      <c r="K15" s="220">
        <f>+'2.sz.m.Bevételek'!N50</f>
        <v>28039</v>
      </c>
      <c r="L15" s="220">
        <f t="shared" si="2"/>
        <v>88380</v>
      </c>
    </row>
    <row r="16" spans="1:12" ht="12.75">
      <c r="A16" s="192">
        <v>26</v>
      </c>
      <c r="B16" s="214" t="s">
        <v>168</v>
      </c>
      <c r="C16" s="193"/>
      <c r="D16" s="200"/>
      <c r="E16" s="200">
        <f>+'2.sz.m.Bevételek'!H58+'2.sz.m.Bevételek'!K46</f>
        <v>14789</v>
      </c>
      <c r="F16" s="200">
        <f t="shared" si="0"/>
        <v>14789</v>
      </c>
      <c r="G16" s="200">
        <f>+'2.sz.m.Bevételek'!J58</f>
        <v>0</v>
      </c>
      <c r="H16" s="200">
        <f>+'2.sz.m.Bevételek'!K58+'2.sz.m.Bevételek'!K46</f>
        <v>14789</v>
      </c>
      <c r="I16" s="200">
        <f>+'2.sz.m.Bevételek'!L58+'2.sz.m.Bevételek'!L46</f>
        <v>12895</v>
      </c>
      <c r="J16" s="551">
        <f t="shared" si="1"/>
        <v>0.8719318412333491</v>
      </c>
      <c r="K16" s="200">
        <f>+'2.sz.m.Bevételek'!N58</f>
        <v>0</v>
      </c>
      <c r="L16" s="200">
        <f t="shared" si="2"/>
        <v>14789</v>
      </c>
    </row>
    <row r="17" spans="1:12" ht="12.75">
      <c r="A17" s="196">
        <v>27</v>
      </c>
      <c r="B17" s="197" t="s">
        <v>169</v>
      </c>
      <c r="C17" s="198"/>
      <c r="D17" s="200">
        <f>SUM(D18:D19)</f>
        <v>10000</v>
      </c>
      <c r="E17" s="200">
        <f>SUM(E18:E19)</f>
        <v>0</v>
      </c>
      <c r="F17" s="200">
        <f t="shared" si="0"/>
        <v>10000</v>
      </c>
      <c r="G17" s="200">
        <f>SUM(G18:G19)</f>
        <v>0</v>
      </c>
      <c r="H17" s="200">
        <f>SUM(H18:H19)</f>
        <v>10000</v>
      </c>
      <c r="I17" s="200">
        <f>SUM(I18:I19)</f>
        <v>0</v>
      </c>
      <c r="J17" s="551">
        <f t="shared" si="1"/>
        <v>0</v>
      </c>
      <c r="K17" s="200">
        <f>SUM(K18:K19)</f>
        <v>0</v>
      </c>
      <c r="L17" s="200">
        <f t="shared" si="2"/>
        <v>10000</v>
      </c>
    </row>
    <row r="18" spans="1:12" ht="12.75">
      <c r="A18" s="216">
        <v>271</v>
      </c>
      <c r="B18" s="205" t="s">
        <v>133</v>
      </c>
      <c r="C18" s="206"/>
      <c r="D18" s="207">
        <f>+'2.sz.m.Bevételek'!G45</f>
        <v>10000</v>
      </c>
      <c r="E18" s="207">
        <f>+'2.sz.m.Bevételek'!H45</f>
        <v>0</v>
      </c>
      <c r="F18" s="207">
        <f t="shared" si="0"/>
        <v>10000</v>
      </c>
      <c r="G18" s="207">
        <f>+'2.sz.m.Bevételek'!L45</f>
        <v>0</v>
      </c>
      <c r="H18" s="207">
        <f>+'2.sz.m.Bevételek'!K45</f>
        <v>10000</v>
      </c>
      <c r="I18" s="207">
        <f>+'2.sz.m.Bevételek'!L45</f>
        <v>0</v>
      </c>
      <c r="J18" s="553">
        <f t="shared" si="1"/>
        <v>0</v>
      </c>
      <c r="K18" s="207">
        <f>+'2.sz.m.Bevételek'!N45</f>
        <v>0</v>
      </c>
      <c r="L18" s="207">
        <f t="shared" si="2"/>
        <v>10000</v>
      </c>
    </row>
    <row r="19" spans="1:12" ht="12.75">
      <c r="A19" s="216">
        <v>272</v>
      </c>
      <c r="B19" s="203" t="s">
        <v>9</v>
      </c>
      <c r="C19" s="204"/>
      <c r="D19" s="207"/>
      <c r="E19" s="207"/>
      <c r="F19" s="207">
        <f t="shared" si="0"/>
        <v>0</v>
      </c>
      <c r="G19" s="207"/>
      <c r="H19" s="207"/>
      <c r="I19" s="207"/>
      <c r="J19" s="553"/>
      <c r="K19" s="207"/>
      <c r="L19" s="207">
        <f t="shared" si="2"/>
        <v>0</v>
      </c>
    </row>
    <row r="20" spans="1:12" ht="12.75">
      <c r="A20" s="216">
        <v>28</v>
      </c>
      <c r="B20" s="203" t="s">
        <v>170</v>
      </c>
      <c r="C20" s="204"/>
      <c r="D20" s="207"/>
      <c r="E20" s="207"/>
      <c r="F20" s="207">
        <f t="shared" si="0"/>
        <v>0</v>
      </c>
      <c r="G20" s="207"/>
      <c r="H20" s="207"/>
      <c r="I20" s="207"/>
      <c r="J20" s="553"/>
      <c r="K20" s="207"/>
      <c r="L20" s="207">
        <f t="shared" si="2"/>
        <v>0</v>
      </c>
    </row>
    <row r="21" spans="1:12" ht="13.5" thickBot="1">
      <c r="A21" s="216">
        <v>29</v>
      </c>
      <c r="B21" s="203" t="s">
        <v>410</v>
      </c>
      <c r="C21" s="204"/>
      <c r="D21" s="207"/>
      <c r="E21" s="207"/>
      <c r="F21" s="207"/>
      <c r="G21" s="207"/>
      <c r="H21" s="207"/>
      <c r="I21" s="207">
        <v>-13</v>
      </c>
      <c r="J21" s="553"/>
      <c r="K21" s="207"/>
      <c r="L21" s="207"/>
    </row>
    <row r="22" spans="1:12" ht="13.5" thickBot="1">
      <c r="A22" s="188">
        <v>1</v>
      </c>
      <c r="B22" s="189" t="s">
        <v>154</v>
      </c>
      <c r="C22" s="190">
        <f>SUM(C24:C28,C33:C37)</f>
        <v>0</v>
      </c>
      <c r="D22" s="191">
        <f>+D24+D25+D26+D27+D28+D33+D34+D36+D37</f>
        <v>1187865.7059443782</v>
      </c>
      <c r="E22" s="191">
        <f>+E24+E25+E26+E27+E28+E33+E34+E35+E36+E37</f>
        <v>27836</v>
      </c>
      <c r="F22" s="191">
        <f t="shared" si="0"/>
        <v>1215701.7059443782</v>
      </c>
      <c r="G22" s="191">
        <f>+G24+G25+G26+G27+G28+G33+G34+G35+G36+G37</f>
        <v>60349</v>
      </c>
      <c r="H22" s="191">
        <f>+H24+H25+H26+H27+H28+H33+H34+H35+H36+H37</f>
        <v>1276050.7059443782</v>
      </c>
      <c r="I22" s="191">
        <f>+I24+I25+I26+I27+I28+I33+I34+I35+I36+I37+I38</f>
        <v>415370</v>
      </c>
      <c r="J22" s="548">
        <f t="shared" si="1"/>
        <v>0.32551214310296034</v>
      </c>
      <c r="K22" s="191">
        <f>+K24+K25+K26+K27+K28+K33+K34+K35+K36+K37</f>
        <v>283224</v>
      </c>
      <c r="L22" s="191">
        <f t="shared" si="2"/>
        <v>1559274.7059443782</v>
      </c>
    </row>
    <row r="23" spans="1:12" ht="48.75" customHeight="1" thickBot="1">
      <c r="A23" s="226"/>
      <c r="B23" s="227" t="s">
        <v>195</v>
      </c>
      <c r="C23" s="230">
        <f>+C22-C30</f>
        <v>0</v>
      </c>
      <c r="D23" s="231">
        <f>+D22-D30</f>
        <v>550181.7059443782</v>
      </c>
      <c r="E23" s="231">
        <f>+E22-E30</f>
        <v>46294</v>
      </c>
      <c r="F23" s="231">
        <f t="shared" si="0"/>
        <v>596475.7059443782</v>
      </c>
      <c r="G23" s="231">
        <f>+G22-G30</f>
        <v>51596</v>
      </c>
      <c r="H23" s="231">
        <f>+H22-H30</f>
        <v>648071.7059443782</v>
      </c>
      <c r="I23" s="231">
        <f>+I22-I30</f>
        <v>156075</v>
      </c>
      <c r="J23" s="556">
        <f t="shared" si="1"/>
        <v>0.24082983189732926</v>
      </c>
      <c r="K23" s="231">
        <f>+K22-K30</f>
        <v>297600</v>
      </c>
      <c r="L23" s="231">
        <f>+H23+K23</f>
        <v>945671.7059443782</v>
      </c>
    </row>
    <row r="24" spans="1:12" ht="12.75">
      <c r="A24" s="543">
        <v>11</v>
      </c>
      <c r="B24" s="544" t="s">
        <v>4</v>
      </c>
      <c r="C24" s="545"/>
      <c r="D24" s="546">
        <f>+'4.sz.m.Kiadások'!C5</f>
        <v>12560</v>
      </c>
      <c r="E24" s="546">
        <f>+'4.sz.m.Kiadások'!D5</f>
        <v>0</v>
      </c>
      <c r="F24" s="546">
        <f t="shared" si="0"/>
        <v>12560</v>
      </c>
      <c r="G24" s="546">
        <f>+'4.sz.m.Kiadások'!F5</f>
        <v>270</v>
      </c>
      <c r="H24" s="546">
        <f>+'4.sz.m.Kiadások'!G5</f>
        <v>12830</v>
      </c>
      <c r="I24" s="546">
        <f>+'4.sz.m.Kiadások'!H5</f>
        <v>5006</v>
      </c>
      <c r="J24" s="557">
        <f t="shared" si="1"/>
        <v>0.3901792673421668</v>
      </c>
      <c r="K24" s="546">
        <f>+'4.sz.m.Kiadások'!J5</f>
        <v>-1310</v>
      </c>
      <c r="L24" s="546">
        <f aca="true" t="shared" si="3" ref="L24:L40">+H24+K24</f>
        <v>11520</v>
      </c>
    </row>
    <row r="25" spans="1:12" ht="12.75">
      <c r="A25" s="202">
        <v>12</v>
      </c>
      <c r="B25" s="203" t="s">
        <v>179</v>
      </c>
      <c r="C25" s="204"/>
      <c r="D25" s="220">
        <f>+'4.sz.m.Kiadások'!C9</f>
        <v>3476.6962143709097</v>
      </c>
      <c r="E25" s="220">
        <f>+'4.sz.m.Kiadások'!D9</f>
        <v>0</v>
      </c>
      <c r="F25" s="220">
        <f t="shared" si="0"/>
        <v>3476.6962143709097</v>
      </c>
      <c r="G25" s="220">
        <f>+'4.sz.m.Kiadások'!F9</f>
        <v>73</v>
      </c>
      <c r="H25" s="220">
        <f>+'4.sz.m.Kiadások'!G9</f>
        <v>3549.6962143709097</v>
      </c>
      <c r="I25" s="220">
        <f>+'4.sz.m.Kiadások'!H9</f>
        <v>1311</v>
      </c>
      <c r="J25" s="555">
        <f t="shared" si="1"/>
        <v>0.36932737925359066</v>
      </c>
      <c r="K25" s="220">
        <f>+'4.sz.m.Kiadások'!J9</f>
        <v>-345</v>
      </c>
      <c r="L25" s="220">
        <f t="shared" si="3"/>
        <v>3204.6962143709097</v>
      </c>
    </row>
    <row r="26" spans="1:12" ht="12.75">
      <c r="A26" s="202">
        <v>13</v>
      </c>
      <c r="B26" s="203" t="s">
        <v>183</v>
      </c>
      <c r="C26" s="204"/>
      <c r="D26" s="220">
        <f>+'4.sz.m.Kiadások'!C10</f>
        <v>99483.02973000729</v>
      </c>
      <c r="E26" s="220">
        <f>+'4.sz.m.Kiadások'!D10</f>
        <v>55026</v>
      </c>
      <c r="F26" s="220">
        <f t="shared" si="0"/>
        <v>154509.02973000729</v>
      </c>
      <c r="G26" s="220">
        <f>+'4.sz.m.Kiadások'!F10</f>
        <v>0</v>
      </c>
      <c r="H26" s="220">
        <f>+'4.sz.m.Kiadások'!G10</f>
        <v>154509.02973000729</v>
      </c>
      <c r="I26" s="220">
        <f>+'4.sz.m.Kiadások'!H10</f>
        <v>90011</v>
      </c>
      <c r="J26" s="555">
        <f t="shared" si="1"/>
        <v>0.5825614215381932</v>
      </c>
      <c r="K26" s="220">
        <f>+'4.sz.m.Kiadások'!J10</f>
        <v>9286</v>
      </c>
      <c r="L26" s="220">
        <f t="shared" si="3"/>
        <v>163795.02973000729</v>
      </c>
    </row>
    <row r="27" spans="1:12" ht="12.75">
      <c r="A27" s="202">
        <v>131</v>
      </c>
      <c r="B27" s="203" t="s">
        <v>182</v>
      </c>
      <c r="C27" s="204"/>
      <c r="D27" s="220">
        <f>+'4.sz.m.Kiadások'!C17</f>
        <v>9786</v>
      </c>
      <c r="E27" s="220">
        <f>+'4.sz.m.Kiadások'!D17</f>
        <v>1735</v>
      </c>
      <c r="F27" s="220">
        <f t="shared" si="0"/>
        <v>11521</v>
      </c>
      <c r="G27" s="220">
        <f>+'4.sz.m.Kiadások'!F17</f>
        <v>0</v>
      </c>
      <c r="H27" s="220">
        <f>+'4.sz.m.Kiadások'!G17</f>
        <v>11521</v>
      </c>
      <c r="I27" s="220">
        <f>+'4.sz.m.Kiadások'!H17</f>
        <v>4361</v>
      </c>
      <c r="J27" s="555">
        <f t="shared" si="1"/>
        <v>0.378526169603333</v>
      </c>
      <c r="K27" s="220">
        <f>+'4.sz.m.Kiadások'!J17</f>
        <v>0</v>
      </c>
      <c r="L27" s="220">
        <f t="shared" si="3"/>
        <v>11521</v>
      </c>
    </row>
    <row r="28" spans="1:12" ht="12.75">
      <c r="A28" s="201">
        <v>14</v>
      </c>
      <c r="B28" s="199" t="s">
        <v>155</v>
      </c>
      <c r="C28" s="194">
        <f>SUM(C29:C32)</f>
        <v>0</v>
      </c>
      <c r="D28" s="219">
        <f>SUM(D29:D32)</f>
        <v>659512</v>
      </c>
      <c r="E28" s="219">
        <f>SUM(E29:E32)</f>
        <v>-16704</v>
      </c>
      <c r="F28" s="219">
        <f t="shared" si="0"/>
        <v>642808</v>
      </c>
      <c r="G28" s="219">
        <f>SUM(G29:G32)</f>
        <v>59422</v>
      </c>
      <c r="H28" s="219">
        <f>SUM(H29:H32)</f>
        <v>702230</v>
      </c>
      <c r="I28" s="219">
        <f>SUM(I29:I32)</f>
        <v>267722</v>
      </c>
      <c r="J28" s="558">
        <f t="shared" si="1"/>
        <v>0.38124546088888256</v>
      </c>
      <c r="K28" s="219">
        <f>SUM(K29:K32)</f>
        <v>-3749</v>
      </c>
      <c r="L28" s="219">
        <f t="shared" si="3"/>
        <v>698481</v>
      </c>
    </row>
    <row r="29" spans="1:12" ht="12.75">
      <c r="A29" s="202">
        <v>141</v>
      </c>
      <c r="B29" s="203" t="s">
        <v>156</v>
      </c>
      <c r="C29" s="204"/>
      <c r="D29" s="220">
        <f>+'4.sz.m.Kiadások'!C21</f>
        <v>21828</v>
      </c>
      <c r="E29" s="220">
        <f>+'4.sz.m.Kiadások'!D21</f>
        <v>1754</v>
      </c>
      <c r="F29" s="220">
        <f t="shared" si="0"/>
        <v>23582</v>
      </c>
      <c r="G29" s="220">
        <f>+'4.sz.m.Kiadások'!F21</f>
        <v>50669</v>
      </c>
      <c r="H29" s="220">
        <f>+'4.sz.m.Kiadások'!G21</f>
        <v>74251</v>
      </c>
      <c r="I29" s="220">
        <f>+'4.sz.m.Kiadások'!H21</f>
        <v>8427</v>
      </c>
      <c r="J29" s="555">
        <f t="shared" si="1"/>
        <v>0.11349342096402742</v>
      </c>
      <c r="K29" s="220">
        <f>+'4.sz.m.Kiadások'!J21</f>
        <v>10627</v>
      </c>
      <c r="L29" s="220">
        <f t="shared" si="3"/>
        <v>84878</v>
      </c>
    </row>
    <row r="30" spans="1:12" ht="12.75">
      <c r="A30" s="202">
        <v>142</v>
      </c>
      <c r="B30" s="208" t="s">
        <v>157</v>
      </c>
      <c r="C30" s="204"/>
      <c r="D30" s="318">
        <f>638954-1270</f>
        <v>637684</v>
      </c>
      <c r="E30" s="318">
        <f>+'4.sz.m.Kiadások'!D19</f>
        <v>-18458</v>
      </c>
      <c r="F30" s="318">
        <f t="shared" si="0"/>
        <v>619226</v>
      </c>
      <c r="G30" s="318">
        <f>+'4.sz.m.Kiadások'!F19</f>
        <v>8753</v>
      </c>
      <c r="H30" s="318">
        <f>+'4.sz.m.Kiadások'!G19</f>
        <v>627979</v>
      </c>
      <c r="I30" s="318">
        <f>+'4.sz.m.Kiadások'!H19</f>
        <v>259295</v>
      </c>
      <c r="J30" s="559">
        <f t="shared" si="1"/>
        <v>0.412903934685714</v>
      </c>
      <c r="K30" s="318">
        <f>+'4.sz.m.Kiadások'!J19</f>
        <v>-14376</v>
      </c>
      <c r="L30" s="318">
        <f t="shared" si="3"/>
        <v>613603</v>
      </c>
    </row>
    <row r="31" spans="1:12" ht="12.75">
      <c r="A31" s="209">
        <v>143</v>
      </c>
      <c r="B31" s="203" t="s">
        <v>158</v>
      </c>
      <c r="C31" s="204"/>
      <c r="D31" s="220"/>
      <c r="E31" s="220"/>
      <c r="F31" s="220">
        <f t="shared" si="0"/>
        <v>0</v>
      </c>
      <c r="G31" s="220"/>
      <c r="H31" s="220"/>
      <c r="I31" s="220"/>
      <c r="J31" s="555"/>
      <c r="K31" s="220"/>
      <c r="L31" s="220">
        <f t="shared" si="3"/>
        <v>0</v>
      </c>
    </row>
    <row r="32" spans="1:12" ht="12.75">
      <c r="A32" s="209">
        <v>144</v>
      </c>
      <c r="B32" s="203" t="s">
        <v>159</v>
      </c>
      <c r="C32" s="204"/>
      <c r="D32" s="220"/>
      <c r="E32" s="220"/>
      <c r="F32" s="220">
        <f t="shared" si="0"/>
        <v>0</v>
      </c>
      <c r="G32" s="220"/>
      <c r="H32" s="220"/>
      <c r="I32" s="220"/>
      <c r="J32" s="555"/>
      <c r="K32" s="220"/>
      <c r="L32" s="220">
        <f t="shared" si="3"/>
        <v>0</v>
      </c>
    </row>
    <row r="33" spans="1:12" ht="12.75">
      <c r="A33" s="196">
        <v>15</v>
      </c>
      <c r="B33" s="197" t="s">
        <v>160</v>
      </c>
      <c r="C33" s="198"/>
      <c r="D33" s="221">
        <f>+'4.sz.m.Kiadások'!C28</f>
        <v>92219.78</v>
      </c>
      <c r="E33" s="221">
        <f>+'4.sz.m.Kiadások'!D28</f>
        <v>2500</v>
      </c>
      <c r="F33" s="221">
        <f t="shared" si="0"/>
        <v>94719.78</v>
      </c>
      <c r="G33" s="221">
        <f>+'4.sz.m.Kiadások'!F28</f>
        <v>0</v>
      </c>
      <c r="H33" s="221">
        <f>+'4.sz.m.Kiadások'!G28</f>
        <v>94719.78</v>
      </c>
      <c r="I33" s="221">
        <f>+'4.sz.m.Kiadások'!H28</f>
        <v>7294</v>
      </c>
      <c r="J33" s="560">
        <f t="shared" si="1"/>
        <v>0.07700609101921478</v>
      </c>
      <c r="K33" s="221">
        <f>+'4.sz.m.Kiadások'!J28</f>
        <v>0</v>
      </c>
      <c r="L33" s="221">
        <f t="shared" si="3"/>
        <v>94719.78</v>
      </c>
    </row>
    <row r="34" spans="1:12" ht="12.75">
      <c r="A34" s="196">
        <v>16</v>
      </c>
      <c r="B34" s="197" t="s">
        <v>117</v>
      </c>
      <c r="C34" s="198"/>
      <c r="D34" s="221">
        <f>+'4.sz.m.Kiadások'!C27</f>
        <v>113360.2</v>
      </c>
      <c r="E34" s="221">
        <f>+'4.sz.m.Kiadások'!D27</f>
        <v>2824</v>
      </c>
      <c r="F34" s="221">
        <f t="shared" si="0"/>
        <v>116184.2</v>
      </c>
      <c r="G34" s="221">
        <f>+'4.sz.m.Kiadások'!F27</f>
        <v>0</v>
      </c>
      <c r="H34" s="221">
        <f>+'4.sz.m.Kiadások'!G27</f>
        <v>116184.2</v>
      </c>
      <c r="I34" s="221">
        <f>+'4.sz.m.Kiadások'!H27</f>
        <v>13917</v>
      </c>
      <c r="J34" s="560">
        <f t="shared" si="1"/>
        <v>0.11978392931224728</v>
      </c>
      <c r="K34" s="221">
        <f>+'4.sz.m.Kiadások'!J27</f>
        <v>234197</v>
      </c>
      <c r="L34" s="221">
        <f t="shared" si="3"/>
        <v>350381.2</v>
      </c>
    </row>
    <row r="35" spans="1:12" ht="12.75">
      <c r="A35" s="196">
        <v>17</v>
      </c>
      <c r="B35" s="197" t="s">
        <v>345</v>
      </c>
      <c r="C35" s="198"/>
      <c r="D35" s="221"/>
      <c r="E35" s="221">
        <f>+'4.sz.m.Kiadások'!D29</f>
        <v>2000</v>
      </c>
      <c r="F35" s="221">
        <f t="shared" si="0"/>
        <v>2000</v>
      </c>
      <c r="G35" s="221">
        <f>+'4.sz.m.Kiadások'!F29</f>
        <v>0</v>
      </c>
      <c r="H35" s="221">
        <f>+'4.sz.m.Kiadások'!G29</f>
        <v>2000</v>
      </c>
      <c r="I35" s="221">
        <f>+'4.sz.m.Kiadások'!H29</f>
        <v>0</v>
      </c>
      <c r="J35" s="560">
        <f t="shared" si="1"/>
        <v>0</v>
      </c>
      <c r="K35" s="221">
        <f>+'4.sz.m.Kiadások'!J29</f>
        <v>0</v>
      </c>
      <c r="L35" s="221">
        <f t="shared" si="3"/>
        <v>2000</v>
      </c>
    </row>
    <row r="36" spans="1:12" ht="12.75">
      <c r="A36" s="196">
        <v>18</v>
      </c>
      <c r="B36" s="197" t="s">
        <v>161</v>
      </c>
      <c r="C36" s="198"/>
      <c r="D36" s="221">
        <f>+'4.sz.m.Kiadások'!C22+'4.sz.m.Kiadások'!C23+'4.sz.m.Kiadások'!C32</f>
        <v>145511</v>
      </c>
      <c r="E36" s="221">
        <f>+'4.sz.m.Kiadások'!D22+'4.sz.m.Kiadások'!D23+'4.sz.m.Kiadások'!D32</f>
        <v>-19545</v>
      </c>
      <c r="F36" s="221">
        <f t="shared" si="0"/>
        <v>125966</v>
      </c>
      <c r="G36" s="221">
        <f>+'4.sz.m.Kiadások'!F22+'4.sz.m.Kiadások'!F23+'4.sz.m.Kiadások'!F32</f>
        <v>584</v>
      </c>
      <c r="H36" s="221">
        <f>+'4.sz.m.Kiadások'!G22+'4.sz.m.Kiadások'!G23+'4.sz.m.Kiadások'!G32</f>
        <v>126550</v>
      </c>
      <c r="I36" s="221">
        <f>+'4.sz.m.Kiadások'!H22+'4.sz.m.Kiadások'!H23+'4.sz.m.Kiadások'!H32</f>
        <v>0</v>
      </c>
      <c r="J36" s="560">
        <f t="shared" si="1"/>
        <v>0</v>
      </c>
      <c r="K36" s="221">
        <f>+'4.sz.m.Kiadások'!J22+'4.sz.m.Kiadások'!J23+'4.sz.m.Kiadások'!J32</f>
        <v>45145</v>
      </c>
      <c r="L36" s="221">
        <f t="shared" si="3"/>
        <v>171695</v>
      </c>
    </row>
    <row r="37" spans="1:12" ht="12.75">
      <c r="A37" s="196">
        <v>19</v>
      </c>
      <c r="B37" s="197" t="s">
        <v>162</v>
      </c>
      <c r="C37" s="198"/>
      <c r="D37" s="221">
        <f>+'4.sz.m.Kiadások'!C40</f>
        <v>51957</v>
      </c>
      <c r="E37" s="221">
        <f>+'4.sz.m.Kiadások'!D40</f>
        <v>0</v>
      </c>
      <c r="F37" s="221">
        <f t="shared" si="0"/>
        <v>51957</v>
      </c>
      <c r="G37" s="221">
        <f>+'4.sz.m.Kiadások'!F40</f>
        <v>0</v>
      </c>
      <c r="H37" s="221">
        <f>+'4.sz.m.Kiadások'!G40</f>
        <v>51957</v>
      </c>
      <c r="I37" s="221">
        <f>+'4.sz.m.Kiadások'!H40</f>
        <v>24463</v>
      </c>
      <c r="J37" s="560">
        <f t="shared" si="1"/>
        <v>0.470831649248417</v>
      </c>
      <c r="K37" s="221">
        <f>+'4.sz.m.Kiadások'!J40</f>
        <v>0</v>
      </c>
      <c r="L37" s="221">
        <f t="shared" si="3"/>
        <v>51957</v>
      </c>
    </row>
    <row r="38" spans="1:12" ht="13.5" thickBot="1">
      <c r="A38" s="210">
        <v>20</v>
      </c>
      <c r="B38" s="211" t="s">
        <v>409</v>
      </c>
      <c r="C38" s="212"/>
      <c r="D38" s="222"/>
      <c r="E38" s="222"/>
      <c r="F38" s="222"/>
      <c r="G38" s="222"/>
      <c r="H38" s="222"/>
      <c r="I38" s="222">
        <v>1285</v>
      </c>
      <c r="J38" s="561"/>
      <c r="K38" s="222"/>
      <c r="L38" s="222"/>
    </row>
    <row r="39" ht="13.5" thickBot="1">
      <c r="L39">
        <f t="shared" si="3"/>
        <v>0</v>
      </c>
    </row>
    <row r="40" spans="2:12" ht="13.5" thickBot="1">
      <c r="B40" s="69" t="s">
        <v>411</v>
      </c>
      <c r="C40" s="223">
        <f aca="true" t="shared" si="4" ref="C40:K40">+C3-C22</f>
        <v>0</v>
      </c>
      <c r="D40" s="223">
        <f t="shared" si="4"/>
        <v>0.4140556219499558</v>
      </c>
      <c r="E40" s="223">
        <f t="shared" si="4"/>
        <v>0</v>
      </c>
      <c r="F40" s="223">
        <f t="shared" si="4"/>
        <v>0.4140556219499558</v>
      </c>
      <c r="G40" s="223">
        <f>+G3-G22</f>
        <v>0</v>
      </c>
      <c r="H40" s="223">
        <f>+H3-H22</f>
        <v>0.4140556219499558</v>
      </c>
      <c r="I40" s="223">
        <f>+I3-I16-I22</f>
        <v>290205</v>
      </c>
      <c r="J40" s="223"/>
      <c r="K40" s="223">
        <f t="shared" si="4"/>
        <v>0</v>
      </c>
      <c r="L40" s="223">
        <f t="shared" si="3"/>
        <v>0.4140556219499558</v>
      </c>
    </row>
    <row r="41" spans="2:12" ht="12.75">
      <c r="B41" s="547" t="s">
        <v>413</v>
      </c>
      <c r="D41" s="61"/>
      <c r="E41" s="61"/>
      <c r="F41" s="61"/>
      <c r="G41" s="61"/>
      <c r="H41" s="61"/>
      <c r="I41" s="61">
        <v>146477</v>
      </c>
      <c r="J41" s="61"/>
      <c r="K41" s="61"/>
      <c r="L41" s="61"/>
    </row>
    <row r="42" spans="2:10" ht="12.75">
      <c r="B42" s="547" t="s">
        <v>412</v>
      </c>
      <c r="I42" s="61">
        <f>SUM(I40:I41)</f>
        <v>436682</v>
      </c>
      <c r="J42" s="61"/>
    </row>
    <row r="43" ht="12.75">
      <c r="I43" s="61"/>
    </row>
  </sheetData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scale="76" r:id="rId1"/>
  <headerFooter alignWithMargins="0">
    <oddHeader>&amp;L1/A sz. számú melléklet&amp;C&amp;"Arial,Félkövér"&amp;12Nagykovácsi Nagyközség Önkormányzatának 2012. évi bevételei és kiadásai&amp;R A 2012. évi önkormányzati költségvetési rendelethez</oddHeader>
    <oddFooter>&amp;L&amp;"Arial,Dőlt"&amp;8&amp;D&amp;C&amp;P&amp;R&amp;"Arial,Dőlt"&amp;8&amp;F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7">
    <tabColor indexed="45"/>
    <pageSetUpPr fitToPage="1"/>
  </sheetPr>
  <dimension ref="A1:O76"/>
  <sheetViews>
    <sheetView workbookViewId="0" topLeftCell="A1">
      <pane xSplit="6" ySplit="4" topLeftCell="J11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M33" sqref="M33"/>
    </sheetView>
  </sheetViews>
  <sheetFormatPr defaultColWidth="9.140625" defaultRowHeight="12.75"/>
  <cols>
    <col min="1" max="1" width="10.421875" style="14" customWidth="1"/>
    <col min="2" max="2" width="54.28125" style="14" customWidth="1"/>
    <col min="3" max="3" width="12.57421875" style="14" hidden="1" customWidth="1"/>
    <col min="4" max="4" width="13.57421875" style="14" hidden="1" customWidth="1"/>
    <col min="5" max="5" width="11.57421875" style="14" hidden="1" customWidth="1"/>
    <col min="6" max="6" width="16.140625" style="14" hidden="1" customWidth="1"/>
    <col min="7" max="12" width="16.140625" style="14" customWidth="1"/>
    <col min="13" max="13" width="16.140625" style="505" customWidth="1"/>
    <col min="14" max="15" width="16.140625" style="14" hidden="1" customWidth="1"/>
    <col min="16" max="16384" width="8.8515625" style="14" customWidth="1"/>
  </cols>
  <sheetData>
    <row r="1" spans="1:15" s="158" customFormat="1" ht="39" thickBot="1">
      <c r="A1" s="156" t="s">
        <v>23</v>
      </c>
      <c r="B1" s="157" t="s">
        <v>24</v>
      </c>
      <c r="C1" s="562" t="s">
        <v>93</v>
      </c>
      <c r="D1" s="563"/>
      <c r="E1" s="564"/>
      <c r="F1" s="71" t="s">
        <v>130</v>
      </c>
      <c r="G1" s="68" t="s">
        <v>171</v>
      </c>
      <c r="H1" s="68" t="s">
        <v>313</v>
      </c>
      <c r="I1" s="68" t="s">
        <v>314</v>
      </c>
      <c r="J1" s="68" t="s">
        <v>381</v>
      </c>
      <c r="K1" s="68" t="s">
        <v>393</v>
      </c>
      <c r="L1" s="461" t="s">
        <v>396</v>
      </c>
      <c r="M1" s="133" t="s">
        <v>397</v>
      </c>
      <c r="N1" s="68" t="s">
        <v>359</v>
      </c>
      <c r="O1" s="68" t="s">
        <v>360</v>
      </c>
    </row>
    <row r="2" spans="1:15" ht="51.75" thickBot="1">
      <c r="A2" s="15"/>
      <c r="B2" s="16"/>
      <c r="C2" s="71" t="s">
        <v>85</v>
      </c>
      <c r="D2" s="72" t="s">
        <v>86</v>
      </c>
      <c r="E2" s="68" t="s">
        <v>87</v>
      </c>
      <c r="F2" s="71" t="s">
        <v>85</v>
      </c>
      <c r="G2" s="68" t="s">
        <v>134</v>
      </c>
      <c r="H2" s="68"/>
      <c r="I2" s="68"/>
      <c r="J2" s="68"/>
      <c r="K2" s="68"/>
      <c r="L2" s="68"/>
      <c r="M2" s="133"/>
      <c r="N2" s="68"/>
      <c r="O2" s="68"/>
    </row>
    <row r="3" spans="1:15" ht="12.75">
      <c r="A3" s="1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482"/>
      <c r="N3" s="17"/>
      <c r="O3" s="17"/>
    </row>
    <row r="4" spans="1:15" ht="13.5" thickBot="1">
      <c r="A4" s="18">
        <v>1</v>
      </c>
      <c r="B4" s="4">
        <v>2</v>
      </c>
      <c r="C4" s="18">
        <v>4</v>
      </c>
      <c r="D4" s="18">
        <v>5</v>
      </c>
      <c r="E4" s="18">
        <v>6</v>
      </c>
      <c r="F4" s="18">
        <v>3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  <c r="L4" s="18"/>
      <c r="M4" s="483"/>
      <c r="N4" s="18">
        <v>6</v>
      </c>
      <c r="O4" s="18">
        <v>7</v>
      </c>
    </row>
    <row r="5" spans="1:15" ht="13.5" thickBot="1">
      <c r="A5" s="19" t="s">
        <v>27</v>
      </c>
      <c r="B5" s="92" t="s">
        <v>28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484"/>
      <c r="N5" s="89"/>
      <c r="O5" s="89"/>
    </row>
    <row r="6" spans="1:15" ht="13.5" thickBot="1">
      <c r="A6" s="93" t="s">
        <v>29</v>
      </c>
      <c r="B6" s="94" t="s">
        <v>30</v>
      </c>
      <c r="C6" s="95">
        <f>SUM(C7:C11)</f>
        <v>75081</v>
      </c>
      <c r="D6" s="95">
        <f>SUM(D7:D11)</f>
        <v>10952</v>
      </c>
      <c r="E6" s="95">
        <f>SUM(E7:E11)</f>
        <v>4373</v>
      </c>
      <c r="F6" s="95">
        <f>SUM(F7:F11)</f>
        <v>0</v>
      </c>
      <c r="G6" s="95">
        <f>SUM(G7:G11)</f>
        <v>64893.12</v>
      </c>
      <c r="H6" s="95"/>
      <c r="I6" s="95">
        <f aca="true" t="shared" si="0" ref="I6:I38">+G6+H6</f>
        <v>64893.12</v>
      </c>
      <c r="J6" s="95"/>
      <c r="K6" s="95">
        <f>+I6+J6</f>
        <v>64893.12</v>
      </c>
      <c r="L6" s="95">
        <f>SUM(L7:L11)</f>
        <v>15017</v>
      </c>
      <c r="M6" s="485">
        <f>+L6/K6</f>
        <v>0.23141128057951288</v>
      </c>
      <c r="N6" s="95"/>
      <c r="O6" s="95">
        <f>+K6+N6</f>
        <v>64893.12</v>
      </c>
    </row>
    <row r="7" spans="1:15" ht="13.5" thickTop="1">
      <c r="A7" s="20"/>
      <c r="B7" s="21" t="s">
        <v>94</v>
      </c>
      <c r="C7" s="23">
        <f>33190-8762</f>
        <v>24428</v>
      </c>
      <c r="D7" s="23">
        <v>8762</v>
      </c>
      <c r="E7" s="23"/>
      <c r="F7" s="23"/>
      <c r="G7" s="144"/>
      <c r="H7" s="144"/>
      <c r="I7" s="144">
        <f t="shared" si="0"/>
        <v>0</v>
      </c>
      <c r="J7" s="144"/>
      <c r="K7" s="144">
        <f aca="true" t="shared" si="1" ref="K7:K66">+I7+J7</f>
        <v>0</v>
      </c>
      <c r="L7" s="144"/>
      <c r="M7" s="486"/>
      <c r="N7" s="144"/>
      <c r="O7" s="144">
        <f aca="true" t="shared" si="2" ref="O7:O66">+K7+N7</f>
        <v>0</v>
      </c>
    </row>
    <row r="8" spans="1:15" ht="12.75">
      <c r="A8" s="24"/>
      <c r="B8" s="25" t="s">
        <v>190</v>
      </c>
      <c r="C8" s="23">
        <f>15200+570</f>
        <v>15770</v>
      </c>
      <c r="D8" s="23"/>
      <c r="E8" s="23"/>
      <c r="F8" s="23"/>
      <c r="G8" s="144">
        <v>1848</v>
      </c>
      <c r="H8" s="144"/>
      <c r="I8" s="144">
        <f t="shared" si="0"/>
        <v>1848</v>
      </c>
      <c r="J8" s="144"/>
      <c r="K8" s="144">
        <f t="shared" si="1"/>
        <v>1848</v>
      </c>
      <c r="L8" s="144">
        <f>402+10+148+53+456</f>
        <v>1069</v>
      </c>
      <c r="M8" s="486">
        <f aca="true" t="shared" si="3" ref="M8:M66">+L8/K8</f>
        <v>0.5784632034632035</v>
      </c>
      <c r="N8" s="144"/>
      <c r="O8" s="144">
        <f t="shared" si="2"/>
        <v>1848</v>
      </c>
    </row>
    <row r="9" spans="1:15" ht="12.75">
      <c r="A9" s="24"/>
      <c r="B9" s="25" t="s">
        <v>191</v>
      </c>
      <c r="C9" s="23">
        <v>2106</v>
      </c>
      <c r="D9" s="23"/>
      <c r="E9" s="23"/>
      <c r="F9" s="23"/>
      <c r="G9" s="23">
        <v>0</v>
      </c>
      <c r="H9" s="23"/>
      <c r="I9" s="23">
        <f t="shared" si="0"/>
        <v>0</v>
      </c>
      <c r="J9" s="23"/>
      <c r="K9" s="23">
        <f t="shared" si="1"/>
        <v>0</v>
      </c>
      <c r="L9" s="23"/>
      <c r="M9" s="487"/>
      <c r="N9" s="23"/>
      <c r="O9" s="23">
        <f t="shared" si="2"/>
        <v>0</v>
      </c>
    </row>
    <row r="10" spans="1:15" ht="12.75">
      <c r="A10" s="24"/>
      <c r="B10" s="26" t="s">
        <v>75</v>
      </c>
      <c r="C10" s="23">
        <f>14340-2190-4373</f>
        <v>7777</v>
      </c>
      <c r="D10" s="23">
        <v>2190</v>
      </c>
      <c r="E10" s="23">
        <v>4373</v>
      </c>
      <c r="F10" s="23"/>
      <c r="G10" s="144">
        <v>57045.12</v>
      </c>
      <c r="H10" s="144"/>
      <c r="I10" s="144">
        <f t="shared" si="0"/>
        <v>57045.12</v>
      </c>
      <c r="J10" s="144"/>
      <c r="K10" s="144">
        <f t="shared" si="1"/>
        <v>57045.12</v>
      </c>
      <c r="L10" s="144">
        <v>8001</v>
      </c>
      <c r="M10" s="486">
        <f t="shared" si="3"/>
        <v>0.14025739625054692</v>
      </c>
      <c r="N10" s="144"/>
      <c r="O10" s="144">
        <f t="shared" si="2"/>
        <v>57045.12</v>
      </c>
    </row>
    <row r="11" spans="1:15" ht="13.5" thickBot="1">
      <c r="A11" s="24"/>
      <c r="B11" s="26" t="s">
        <v>31</v>
      </c>
      <c r="C11" s="23">
        <v>25000</v>
      </c>
      <c r="D11" s="23"/>
      <c r="E11" s="23"/>
      <c r="F11" s="23"/>
      <c r="G11" s="144">
        <v>6000</v>
      </c>
      <c r="H11" s="144"/>
      <c r="I11" s="144">
        <f t="shared" si="0"/>
        <v>6000</v>
      </c>
      <c r="J11" s="144"/>
      <c r="K11" s="144">
        <f t="shared" si="1"/>
        <v>6000</v>
      </c>
      <c r="L11" s="144">
        <f>4541+1355+51</f>
        <v>5947</v>
      </c>
      <c r="M11" s="486">
        <f t="shared" si="3"/>
        <v>0.9911666666666666</v>
      </c>
      <c r="N11" s="144"/>
      <c r="O11" s="144">
        <f t="shared" si="2"/>
        <v>6000</v>
      </c>
    </row>
    <row r="12" spans="1:15" ht="13.5" thickBot="1">
      <c r="A12" s="93" t="s">
        <v>32</v>
      </c>
      <c r="B12" s="96" t="s">
        <v>33</v>
      </c>
      <c r="C12" s="97">
        <f aca="true" t="shared" si="4" ref="C12:H12">SUM(C13:C17)</f>
        <v>240021</v>
      </c>
      <c r="D12" s="97">
        <f t="shared" si="4"/>
        <v>0</v>
      </c>
      <c r="E12" s="97">
        <f t="shared" si="4"/>
        <v>0</v>
      </c>
      <c r="F12" s="97">
        <f t="shared" si="4"/>
        <v>0</v>
      </c>
      <c r="G12" s="97">
        <f t="shared" si="4"/>
        <v>312580</v>
      </c>
      <c r="H12" s="97">
        <f t="shared" si="4"/>
        <v>10000</v>
      </c>
      <c r="I12" s="97">
        <f t="shared" si="0"/>
        <v>322580</v>
      </c>
      <c r="J12" s="97">
        <f>SUM(J13:J17)</f>
        <v>0</v>
      </c>
      <c r="K12" s="97">
        <f t="shared" si="1"/>
        <v>322580</v>
      </c>
      <c r="L12" s="97">
        <f>SUM(L13:L17)</f>
        <v>270673</v>
      </c>
      <c r="M12" s="488">
        <f t="shared" si="3"/>
        <v>0.8390879781759564</v>
      </c>
      <c r="N12" s="97">
        <f>SUM(N13:N17)</f>
        <v>28100</v>
      </c>
      <c r="O12" s="97">
        <f t="shared" si="2"/>
        <v>350680</v>
      </c>
    </row>
    <row r="13" spans="1:15" ht="13.5" thickTop="1">
      <c r="A13" s="24"/>
      <c r="B13" s="25" t="s">
        <v>34</v>
      </c>
      <c r="C13" s="23">
        <v>56673</v>
      </c>
      <c r="D13" s="23"/>
      <c r="E13" s="23"/>
      <c r="F13" s="23"/>
      <c r="G13" s="23">
        <v>88000</v>
      </c>
      <c r="H13" s="23">
        <v>10000</v>
      </c>
      <c r="I13" s="23">
        <f t="shared" si="0"/>
        <v>98000</v>
      </c>
      <c r="J13" s="23"/>
      <c r="K13" s="23">
        <f t="shared" si="1"/>
        <v>98000</v>
      </c>
      <c r="L13" s="23">
        <v>91379</v>
      </c>
      <c r="M13" s="487">
        <f t="shared" si="3"/>
        <v>0.932438775510204</v>
      </c>
      <c r="N13" s="23">
        <v>10000</v>
      </c>
      <c r="O13" s="23">
        <f t="shared" si="2"/>
        <v>108000</v>
      </c>
    </row>
    <row r="14" spans="1:15" ht="12.75">
      <c r="A14" s="24"/>
      <c r="B14" s="25" t="s">
        <v>13</v>
      </c>
      <c r="C14" s="23">
        <v>89455</v>
      </c>
      <c r="D14" s="23"/>
      <c r="E14" s="23"/>
      <c r="F14" s="23"/>
      <c r="G14" s="23">
        <v>95500</v>
      </c>
      <c r="H14" s="23"/>
      <c r="I14" s="23">
        <f t="shared" si="0"/>
        <v>95500</v>
      </c>
      <c r="J14" s="23"/>
      <c r="K14" s="23">
        <f t="shared" si="1"/>
        <v>95500</v>
      </c>
      <c r="L14" s="23">
        <v>62129</v>
      </c>
      <c r="M14" s="487">
        <f t="shared" si="3"/>
        <v>0.650565445026178</v>
      </c>
      <c r="N14" s="23">
        <v>5000</v>
      </c>
      <c r="O14" s="23">
        <f t="shared" si="2"/>
        <v>100500</v>
      </c>
    </row>
    <row r="15" spans="1:15" ht="12.75">
      <c r="A15" s="24"/>
      <c r="B15" s="25" t="s">
        <v>127</v>
      </c>
      <c r="C15" s="23"/>
      <c r="D15" s="23"/>
      <c r="E15" s="23"/>
      <c r="F15" s="23"/>
      <c r="G15" s="23">
        <v>80</v>
      </c>
      <c r="H15" s="23"/>
      <c r="I15" s="23">
        <f t="shared" si="0"/>
        <v>80</v>
      </c>
      <c r="J15" s="23"/>
      <c r="K15" s="23">
        <f t="shared" si="1"/>
        <v>80</v>
      </c>
      <c r="L15" s="23"/>
      <c r="M15" s="487">
        <f t="shared" si="3"/>
        <v>0</v>
      </c>
      <c r="N15" s="23"/>
      <c r="O15" s="23">
        <f t="shared" si="2"/>
        <v>80</v>
      </c>
    </row>
    <row r="16" spans="1:15" ht="12.75">
      <c r="A16" s="24"/>
      <c r="B16" s="25" t="s">
        <v>95</v>
      </c>
      <c r="C16" s="23">
        <v>92393</v>
      </c>
      <c r="D16" s="23"/>
      <c r="E16" s="23"/>
      <c r="F16" s="23"/>
      <c r="G16" s="23">
        <v>123000</v>
      </c>
      <c r="H16" s="23"/>
      <c r="I16" s="23">
        <f t="shared" si="0"/>
        <v>123000</v>
      </c>
      <c r="J16" s="23"/>
      <c r="K16" s="23">
        <f t="shared" si="1"/>
        <v>123000</v>
      </c>
      <c r="L16" s="23">
        <v>90882</v>
      </c>
      <c r="M16" s="487">
        <f t="shared" si="3"/>
        <v>0.7388780487804878</v>
      </c>
      <c r="N16" s="23"/>
      <c r="O16" s="23">
        <f t="shared" si="2"/>
        <v>123000</v>
      </c>
    </row>
    <row r="17" spans="1:15" ht="13.5" thickBot="1">
      <c r="A17" s="87"/>
      <c r="B17" s="26" t="s">
        <v>96</v>
      </c>
      <c r="C17" s="28">
        <v>1500</v>
      </c>
      <c r="D17" s="28"/>
      <c r="E17" s="28"/>
      <c r="F17" s="28"/>
      <c r="G17" s="145">
        <v>6000</v>
      </c>
      <c r="H17" s="145"/>
      <c r="I17" s="145">
        <f t="shared" si="0"/>
        <v>6000</v>
      </c>
      <c r="J17" s="145"/>
      <c r="K17" s="145">
        <f t="shared" si="1"/>
        <v>6000</v>
      </c>
      <c r="L17" s="145">
        <f>10877+15406</f>
        <v>26283</v>
      </c>
      <c r="M17" s="489">
        <f t="shared" si="3"/>
        <v>4.3805</v>
      </c>
      <c r="N17" s="145">
        <v>13100</v>
      </c>
      <c r="O17" s="145">
        <f t="shared" si="2"/>
        <v>19100</v>
      </c>
    </row>
    <row r="18" spans="1:15" ht="13.5" thickBot="1">
      <c r="A18" s="93" t="s">
        <v>35</v>
      </c>
      <c r="B18" s="94" t="s">
        <v>36</v>
      </c>
      <c r="C18" s="97">
        <f>SUM(C19:C21)</f>
        <v>249069.84</v>
      </c>
      <c r="D18" s="97">
        <f>SUM(D19:D21)</f>
        <v>0</v>
      </c>
      <c r="E18" s="97">
        <f>SUM(E19:E21)</f>
        <v>0</v>
      </c>
      <c r="F18" s="97">
        <f>SUM(F19:F21)</f>
        <v>0</v>
      </c>
      <c r="G18" s="97">
        <f>SUM(G19:G21)</f>
        <v>237140</v>
      </c>
      <c r="H18" s="97"/>
      <c r="I18" s="97">
        <f t="shared" si="0"/>
        <v>237140</v>
      </c>
      <c r="J18" s="97"/>
      <c r="K18" s="97">
        <f t="shared" si="1"/>
        <v>237140</v>
      </c>
      <c r="L18" s="97">
        <f>SUM(L19:L21)</f>
        <v>121932</v>
      </c>
      <c r="M18" s="488">
        <f t="shared" si="3"/>
        <v>0.5141772792443282</v>
      </c>
      <c r="N18" s="97"/>
      <c r="O18" s="97">
        <f t="shared" si="2"/>
        <v>237140</v>
      </c>
    </row>
    <row r="19" spans="1:15" ht="13.5" thickTop="1">
      <c r="A19" s="20"/>
      <c r="B19" s="21" t="s">
        <v>15</v>
      </c>
      <c r="C19" s="98">
        <v>195935.84</v>
      </c>
      <c r="D19" s="23"/>
      <c r="E19" s="23"/>
      <c r="F19" s="98"/>
      <c r="G19" s="146">
        <v>171140</v>
      </c>
      <c r="H19" s="146"/>
      <c r="I19" s="146">
        <f t="shared" si="0"/>
        <v>171140</v>
      </c>
      <c r="J19" s="146"/>
      <c r="K19" s="146">
        <f t="shared" si="1"/>
        <v>171140</v>
      </c>
      <c r="L19" s="146">
        <v>89506</v>
      </c>
      <c r="M19" s="476">
        <f t="shared" si="3"/>
        <v>0.5229987145027463</v>
      </c>
      <c r="N19" s="146"/>
      <c r="O19" s="146">
        <f t="shared" si="2"/>
        <v>171140</v>
      </c>
    </row>
    <row r="20" spans="1:15" ht="12.75">
      <c r="A20" s="20"/>
      <c r="B20" s="99" t="s">
        <v>97</v>
      </c>
      <c r="C20" s="23">
        <v>0</v>
      </c>
      <c r="D20" s="23"/>
      <c r="E20" s="23"/>
      <c r="F20" s="23"/>
      <c r="G20" s="144"/>
      <c r="H20" s="144"/>
      <c r="I20" s="144">
        <f t="shared" si="0"/>
        <v>0</v>
      </c>
      <c r="J20" s="144"/>
      <c r="K20" s="144">
        <f t="shared" si="1"/>
        <v>0</v>
      </c>
      <c r="L20" s="144"/>
      <c r="M20" s="486"/>
      <c r="N20" s="144"/>
      <c r="O20" s="144">
        <f t="shared" si="2"/>
        <v>0</v>
      </c>
    </row>
    <row r="21" spans="1:15" ht="13.5" thickBot="1">
      <c r="A21" s="87"/>
      <c r="B21" s="26" t="s">
        <v>17</v>
      </c>
      <c r="C21" s="28">
        <v>53134</v>
      </c>
      <c r="D21" s="28"/>
      <c r="E21" s="28"/>
      <c r="F21" s="28"/>
      <c r="G21" s="145">
        <v>66000</v>
      </c>
      <c r="H21" s="145"/>
      <c r="I21" s="145">
        <f t="shared" si="0"/>
        <v>66000</v>
      </c>
      <c r="J21" s="145"/>
      <c r="K21" s="145">
        <f t="shared" si="1"/>
        <v>66000</v>
      </c>
      <c r="L21" s="145">
        <v>32426</v>
      </c>
      <c r="M21" s="489">
        <f t="shared" si="3"/>
        <v>0.4913030303030303</v>
      </c>
      <c r="N21" s="145"/>
      <c r="O21" s="145">
        <f t="shared" si="2"/>
        <v>66000</v>
      </c>
    </row>
    <row r="22" spans="1:15" ht="13.5" thickBot="1">
      <c r="A22" s="93" t="s">
        <v>37</v>
      </c>
      <c r="B22" s="96" t="s">
        <v>98</v>
      </c>
      <c r="C22" s="100">
        <f>SUM(C23:C29)</f>
        <v>2082</v>
      </c>
      <c r="D22" s="100">
        <f>SUM(D23:D29)</f>
        <v>0</v>
      </c>
      <c r="E22" s="100">
        <f>SUM(E23:E29)</f>
        <v>17490</v>
      </c>
      <c r="F22" s="100">
        <f>SUM(F23:F29)</f>
        <v>0</v>
      </c>
      <c r="G22" s="100">
        <f>SUM(G23:G29)</f>
        <v>19450</v>
      </c>
      <c r="H22" s="100"/>
      <c r="I22" s="100">
        <f t="shared" si="0"/>
        <v>19450</v>
      </c>
      <c r="J22" s="100"/>
      <c r="K22" s="100">
        <f t="shared" si="1"/>
        <v>19450</v>
      </c>
      <c r="L22" s="100">
        <f>SUM(L23:L29)</f>
        <v>1559</v>
      </c>
      <c r="M22" s="490">
        <f t="shared" si="3"/>
        <v>0.08015424164524422</v>
      </c>
      <c r="N22" s="100"/>
      <c r="O22" s="100">
        <f t="shared" si="2"/>
        <v>19450</v>
      </c>
    </row>
    <row r="23" spans="1:15" ht="13.5" thickTop="1">
      <c r="A23" s="29"/>
      <c r="B23" s="21" t="s">
        <v>99</v>
      </c>
      <c r="C23" s="98">
        <v>100</v>
      </c>
      <c r="D23" s="22"/>
      <c r="E23" s="22"/>
      <c r="F23" s="98"/>
      <c r="G23" s="146"/>
      <c r="H23" s="146"/>
      <c r="I23" s="146">
        <f t="shared" si="0"/>
        <v>0</v>
      </c>
      <c r="J23" s="146"/>
      <c r="K23" s="146">
        <f t="shared" si="1"/>
        <v>0</v>
      </c>
      <c r="L23" s="146"/>
      <c r="M23" s="476"/>
      <c r="N23" s="146"/>
      <c r="O23" s="146">
        <f t="shared" si="2"/>
        <v>0</v>
      </c>
    </row>
    <row r="24" spans="1:15" ht="12.75">
      <c r="A24" s="30"/>
      <c r="B24" s="25" t="s">
        <v>100</v>
      </c>
      <c r="C24" s="23">
        <v>500</v>
      </c>
      <c r="D24" s="22"/>
      <c r="E24" s="22"/>
      <c r="F24" s="23"/>
      <c r="G24" s="144">
        <v>2750</v>
      </c>
      <c r="H24" s="144"/>
      <c r="I24" s="144">
        <f t="shared" si="0"/>
        <v>2750</v>
      </c>
      <c r="J24" s="144"/>
      <c r="K24" s="144">
        <f t="shared" si="1"/>
        <v>2750</v>
      </c>
      <c r="L24" s="144">
        <v>1051</v>
      </c>
      <c r="M24" s="486">
        <f t="shared" si="3"/>
        <v>0.3821818181818182</v>
      </c>
      <c r="N24" s="144"/>
      <c r="O24" s="144">
        <f t="shared" si="2"/>
        <v>2750</v>
      </c>
    </row>
    <row r="25" spans="1:15" ht="12.75">
      <c r="A25" s="30"/>
      <c r="B25" s="24" t="s">
        <v>38</v>
      </c>
      <c r="C25" s="23">
        <v>848</v>
      </c>
      <c r="D25" s="22"/>
      <c r="E25" s="22"/>
      <c r="F25" s="23"/>
      <c r="G25" s="144">
        <v>700</v>
      </c>
      <c r="H25" s="144"/>
      <c r="I25" s="144">
        <f t="shared" si="0"/>
        <v>700</v>
      </c>
      <c r="J25" s="144"/>
      <c r="K25" s="144">
        <f t="shared" si="1"/>
        <v>700</v>
      </c>
      <c r="L25" s="144">
        <v>190</v>
      </c>
      <c r="M25" s="486">
        <f t="shared" si="3"/>
        <v>0.2714285714285714</v>
      </c>
      <c r="N25" s="144"/>
      <c r="O25" s="144">
        <f t="shared" si="2"/>
        <v>700</v>
      </c>
    </row>
    <row r="26" spans="1:15" ht="12.75">
      <c r="A26" s="159"/>
      <c r="B26" s="31" t="s">
        <v>128</v>
      </c>
      <c r="C26" s="34">
        <v>634</v>
      </c>
      <c r="D26" s="22"/>
      <c r="E26" s="22"/>
      <c r="F26" s="34"/>
      <c r="G26" s="132"/>
      <c r="H26" s="132"/>
      <c r="I26" s="132">
        <f t="shared" si="0"/>
        <v>0</v>
      </c>
      <c r="J26" s="132"/>
      <c r="K26" s="132">
        <f t="shared" si="1"/>
        <v>0</v>
      </c>
      <c r="L26" s="132"/>
      <c r="M26" s="491"/>
      <c r="N26" s="132"/>
      <c r="O26" s="132">
        <f t="shared" si="2"/>
        <v>0</v>
      </c>
    </row>
    <row r="27" spans="1:15" ht="12.75">
      <c r="A27" s="159"/>
      <c r="B27" s="31" t="s">
        <v>189</v>
      </c>
      <c r="C27" s="34"/>
      <c r="D27" s="22"/>
      <c r="E27" s="22"/>
      <c r="F27" s="34"/>
      <c r="G27" s="132"/>
      <c r="H27" s="132"/>
      <c r="I27" s="132">
        <f t="shared" si="0"/>
        <v>0</v>
      </c>
      <c r="J27" s="132"/>
      <c r="K27" s="132">
        <f t="shared" si="1"/>
        <v>0</v>
      </c>
      <c r="L27" s="132"/>
      <c r="M27" s="491"/>
      <c r="N27" s="132"/>
      <c r="O27" s="132">
        <f t="shared" si="2"/>
        <v>0</v>
      </c>
    </row>
    <row r="28" spans="1:15" ht="12.75">
      <c r="A28" s="159"/>
      <c r="B28" s="31" t="s">
        <v>39</v>
      </c>
      <c r="C28" s="34">
        <f>14447-14447</f>
        <v>0</v>
      </c>
      <c r="D28" s="22"/>
      <c r="E28" s="34">
        <v>14447</v>
      </c>
      <c r="F28" s="34"/>
      <c r="G28" s="132"/>
      <c r="H28" s="132"/>
      <c r="I28" s="132">
        <f t="shared" si="0"/>
        <v>0</v>
      </c>
      <c r="J28" s="132"/>
      <c r="K28" s="132">
        <f t="shared" si="1"/>
        <v>0</v>
      </c>
      <c r="L28" s="132"/>
      <c r="M28" s="491"/>
      <c r="N28" s="132"/>
      <c r="O28" s="132">
        <f t="shared" si="2"/>
        <v>0</v>
      </c>
    </row>
    <row r="29" spans="1:15" ht="13.5" thickBot="1">
      <c r="A29" s="27"/>
      <c r="B29" s="6" t="s">
        <v>101</v>
      </c>
      <c r="C29" s="28">
        <f>3043-3043</f>
        <v>0</v>
      </c>
      <c r="D29" s="90"/>
      <c r="E29" s="28">
        <v>3043</v>
      </c>
      <c r="F29" s="28"/>
      <c r="G29" s="145">
        <v>16000</v>
      </c>
      <c r="H29" s="145"/>
      <c r="I29" s="145">
        <f t="shared" si="0"/>
        <v>16000</v>
      </c>
      <c r="J29" s="145"/>
      <c r="K29" s="145">
        <f t="shared" si="1"/>
        <v>16000</v>
      </c>
      <c r="L29" s="145">
        <v>318</v>
      </c>
      <c r="M29" s="489">
        <f t="shared" si="3"/>
        <v>0.019875</v>
      </c>
      <c r="N29" s="145"/>
      <c r="O29" s="145">
        <f t="shared" si="2"/>
        <v>16000</v>
      </c>
    </row>
    <row r="30" spans="1:15" ht="13.5" thickBot="1">
      <c r="A30" s="93" t="s">
        <v>40</v>
      </c>
      <c r="B30" s="96" t="s">
        <v>102</v>
      </c>
      <c r="C30" s="100">
        <f aca="true" t="shared" si="5" ref="C30:H30">SUM(C31:C35)</f>
        <v>203174</v>
      </c>
      <c r="D30" s="100">
        <f t="shared" si="5"/>
        <v>0</v>
      </c>
      <c r="E30" s="100">
        <f t="shared" si="5"/>
        <v>0</v>
      </c>
      <c r="F30" s="100">
        <f t="shared" si="5"/>
        <v>0</v>
      </c>
      <c r="G30" s="100">
        <f t="shared" si="5"/>
        <v>192391</v>
      </c>
      <c r="H30" s="100">
        <f t="shared" si="5"/>
        <v>3047</v>
      </c>
      <c r="I30" s="100">
        <f t="shared" si="0"/>
        <v>195438</v>
      </c>
      <c r="J30" s="100">
        <f>SUM(J31:J35)</f>
        <v>60349</v>
      </c>
      <c r="K30" s="100">
        <f t="shared" si="1"/>
        <v>255787</v>
      </c>
      <c r="L30" s="100">
        <f>SUM(L31:L35)</f>
        <v>163018</v>
      </c>
      <c r="M30" s="490">
        <f t="shared" si="3"/>
        <v>0.6373193321005368</v>
      </c>
      <c r="N30" s="100">
        <f>SUM(N31:N35)</f>
        <v>0</v>
      </c>
      <c r="O30" s="100">
        <f t="shared" si="2"/>
        <v>255787</v>
      </c>
    </row>
    <row r="31" spans="1:15" ht="13.5" thickTop="1">
      <c r="A31" s="101"/>
      <c r="B31" s="102" t="s">
        <v>16</v>
      </c>
      <c r="C31" s="23">
        <v>163174</v>
      </c>
      <c r="D31" s="23"/>
      <c r="E31" s="23"/>
      <c r="F31" s="23"/>
      <c r="G31" s="144">
        <v>192391</v>
      </c>
      <c r="H31" s="144">
        <v>3047</v>
      </c>
      <c r="I31" s="144">
        <f t="shared" si="0"/>
        <v>195438</v>
      </c>
      <c r="J31" s="144">
        <f>2637-408</f>
        <v>2229</v>
      </c>
      <c r="K31" s="144">
        <f t="shared" si="1"/>
        <v>197667</v>
      </c>
      <c r="L31" s="144">
        <f>163018-L33-L34-L35</f>
        <v>104898</v>
      </c>
      <c r="M31" s="486">
        <f t="shared" si="3"/>
        <v>0.5306803867109836</v>
      </c>
      <c r="N31" s="144"/>
      <c r="O31" s="144">
        <f t="shared" si="2"/>
        <v>197667</v>
      </c>
    </row>
    <row r="32" spans="1:15" ht="12.75">
      <c r="A32" s="29"/>
      <c r="B32" s="33" t="s">
        <v>41</v>
      </c>
      <c r="C32" s="23"/>
      <c r="D32" s="23"/>
      <c r="E32" s="23"/>
      <c r="F32" s="23"/>
      <c r="G32" s="23"/>
      <c r="H32" s="23"/>
      <c r="I32" s="23">
        <f t="shared" si="0"/>
        <v>0</v>
      </c>
      <c r="J32" s="23"/>
      <c r="K32" s="23">
        <f t="shared" si="1"/>
        <v>0</v>
      </c>
      <c r="L32" s="23"/>
      <c r="M32" s="487"/>
      <c r="N32" s="23"/>
      <c r="O32" s="23">
        <f t="shared" si="2"/>
        <v>0</v>
      </c>
    </row>
    <row r="33" spans="1:15" ht="12.75">
      <c r="A33" s="30"/>
      <c r="B33" s="25" t="s">
        <v>402</v>
      </c>
      <c r="C33" s="34"/>
      <c r="D33" s="23"/>
      <c r="E33" s="23"/>
      <c r="F33" s="34"/>
      <c r="G33" s="34"/>
      <c r="H33" s="34"/>
      <c r="I33" s="34">
        <f t="shared" si="0"/>
        <v>0</v>
      </c>
      <c r="J33" s="34">
        <v>585</v>
      </c>
      <c r="K33" s="34">
        <f t="shared" si="1"/>
        <v>585</v>
      </c>
      <c r="L33" s="34">
        <v>585</v>
      </c>
      <c r="M33" s="492">
        <f t="shared" si="3"/>
        <v>1</v>
      </c>
      <c r="N33" s="34"/>
      <c r="O33" s="34">
        <f t="shared" si="2"/>
        <v>585</v>
      </c>
    </row>
    <row r="34" spans="1:15" ht="12.75">
      <c r="A34" s="19"/>
      <c r="B34" s="26" t="s">
        <v>403</v>
      </c>
      <c r="C34" s="32">
        <v>40000</v>
      </c>
      <c r="D34" s="22"/>
      <c r="E34" s="22"/>
      <c r="F34" s="32"/>
      <c r="G34" s="32"/>
      <c r="H34" s="32"/>
      <c r="I34" s="32">
        <f>+G34+H34</f>
        <v>0</v>
      </c>
      <c r="J34" s="32">
        <v>50669</v>
      </c>
      <c r="K34" s="32">
        <f>+I34+J34</f>
        <v>50669</v>
      </c>
      <c r="L34" s="32">
        <v>50669</v>
      </c>
      <c r="M34" s="494">
        <f>+L34/K34</f>
        <v>1</v>
      </c>
      <c r="N34" s="32"/>
      <c r="O34" s="32">
        <f>+K34+N34</f>
        <v>50669</v>
      </c>
    </row>
    <row r="35" spans="1:15" ht="13.5" thickBot="1">
      <c r="A35" s="19"/>
      <c r="B35" s="26" t="s">
        <v>404</v>
      </c>
      <c r="C35" s="86">
        <v>0</v>
      </c>
      <c r="D35" s="90"/>
      <c r="E35" s="90"/>
      <c r="F35" s="86"/>
      <c r="G35" s="86"/>
      <c r="H35" s="86"/>
      <c r="I35" s="86">
        <f t="shared" si="0"/>
        <v>0</v>
      </c>
      <c r="J35" s="86">
        <v>6866</v>
      </c>
      <c r="K35" s="86">
        <f t="shared" si="1"/>
        <v>6866</v>
      </c>
      <c r="L35" s="86">
        <v>6866</v>
      </c>
      <c r="M35" s="493">
        <f t="shared" si="3"/>
        <v>1</v>
      </c>
      <c r="N35" s="86"/>
      <c r="O35" s="86">
        <f t="shared" si="2"/>
        <v>6866</v>
      </c>
    </row>
    <row r="36" spans="1:15" ht="13.5" thickBot="1">
      <c r="A36" s="93" t="s">
        <v>43</v>
      </c>
      <c r="B36" s="96" t="s">
        <v>3</v>
      </c>
      <c r="C36" s="100">
        <f>SUM(C37:C43)</f>
        <v>12261</v>
      </c>
      <c r="D36" s="100">
        <f>SUM(D37:D43)</f>
        <v>0</v>
      </c>
      <c r="E36" s="100">
        <f>SUM(E37:E43)</f>
        <v>0</v>
      </c>
      <c r="F36" s="100">
        <f>SUM(F37:F44)</f>
        <v>0</v>
      </c>
      <c r="G36" s="100">
        <f>SUM(G37:G44)</f>
        <v>14480</v>
      </c>
      <c r="H36" s="100"/>
      <c r="I36" s="100">
        <f t="shared" si="0"/>
        <v>14480</v>
      </c>
      <c r="J36" s="100">
        <f>SUM(J37:J44)</f>
        <v>0</v>
      </c>
      <c r="K36" s="100">
        <f t="shared" si="1"/>
        <v>14480</v>
      </c>
      <c r="L36" s="100">
        <f>SUM(L37:L44)</f>
        <v>11061</v>
      </c>
      <c r="M36" s="490">
        <f t="shared" si="3"/>
        <v>0.7638812154696133</v>
      </c>
      <c r="N36" s="100">
        <f>SUM(N37:N44)</f>
        <v>0</v>
      </c>
      <c r="O36" s="100">
        <f t="shared" si="2"/>
        <v>14480</v>
      </c>
    </row>
    <row r="37" spans="1:15" ht="13.5" thickTop="1">
      <c r="A37" s="29"/>
      <c r="B37" s="25" t="s">
        <v>103</v>
      </c>
      <c r="C37" s="34">
        <v>10889</v>
      </c>
      <c r="D37" s="32"/>
      <c r="E37" s="32"/>
      <c r="F37" s="34"/>
      <c r="G37" s="34">
        <v>13666</v>
      </c>
      <c r="H37" s="34"/>
      <c r="I37" s="34">
        <f t="shared" si="0"/>
        <v>13666</v>
      </c>
      <c r="J37" s="34"/>
      <c r="K37" s="34">
        <f t="shared" si="1"/>
        <v>13666</v>
      </c>
      <c r="L37" s="34">
        <v>5479</v>
      </c>
      <c r="M37" s="492">
        <f t="shared" si="3"/>
        <v>0.40092199619493635</v>
      </c>
      <c r="N37" s="34"/>
      <c r="O37" s="34">
        <f t="shared" si="2"/>
        <v>13666</v>
      </c>
    </row>
    <row r="38" spans="1:15" ht="12.75">
      <c r="A38" s="29"/>
      <c r="B38" s="25" t="s">
        <v>148</v>
      </c>
      <c r="C38" s="34"/>
      <c r="D38" s="32"/>
      <c r="E38" s="32"/>
      <c r="F38" s="34"/>
      <c r="G38" s="34"/>
      <c r="H38" s="34"/>
      <c r="I38" s="34">
        <f t="shared" si="0"/>
        <v>0</v>
      </c>
      <c r="J38" s="34"/>
      <c r="K38" s="34">
        <f t="shared" si="1"/>
        <v>0</v>
      </c>
      <c r="L38" s="34">
        <v>5104</v>
      </c>
      <c r="M38" s="492"/>
      <c r="N38" s="34"/>
      <c r="O38" s="34">
        <f t="shared" si="2"/>
        <v>0</v>
      </c>
    </row>
    <row r="39" spans="1:15" ht="12.75">
      <c r="A39" s="29"/>
      <c r="B39" s="25" t="s">
        <v>42</v>
      </c>
      <c r="C39" s="34">
        <v>566</v>
      </c>
      <c r="D39" s="32"/>
      <c r="E39" s="32"/>
      <c r="F39" s="34"/>
      <c r="G39" s="34"/>
      <c r="H39" s="34"/>
      <c r="I39" s="34">
        <f aca="true" t="shared" si="6" ref="I39:I52">+G39+H39</f>
        <v>0</v>
      </c>
      <c r="J39" s="34"/>
      <c r="K39" s="34">
        <f t="shared" si="1"/>
        <v>0</v>
      </c>
      <c r="L39" s="34"/>
      <c r="M39" s="492"/>
      <c r="N39" s="34"/>
      <c r="O39" s="34">
        <f t="shared" si="2"/>
        <v>0</v>
      </c>
    </row>
    <row r="40" spans="1:15" ht="12.75">
      <c r="A40" s="29"/>
      <c r="B40" s="25" t="s">
        <v>180</v>
      </c>
      <c r="C40" s="34"/>
      <c r="D40" s="22"/>
      <c r="E40" s="22"/>
      <c r="F40" s="34"/>
      <c r="G40" s="132"/>
      <c r="H40" s="132"/>
      <c r="I40" s="132">
        <f t="shared" si="6"/>
        <v>0</v>
      </c>
      <c r="J40" s="132"/>
      <c r="K40" s="132">
        <f t="shared" si="1"/>
        <v>0</v>
      </c>
      <c r="L40" s="132"/>
      <c r="M40" s="491"/>
      <c r="N40" s="132"/>
      <c r="O40" s="132">
        <f t="shared" si="2"/>
        <v>0</v>
      </c>
    </row>
    <row r="41" spans="1:15" ht="12.75">
      <c r="A41" s="29"/>
      <c r="B41" s="25" t="s">
        <v>181</v>
      </c>
      <c r="C41" s="34"/>
      <c r="D41" s="22"/>
      <c r="E41" s="22"/>
      <c r="F41" s="34"/>
      <c r="G41" s="132"/>
      <c r="H41" s="132"/>
      <c r="I41" s="132">
        <f t="shared" si="6"/>
        <v>0</v>
      </c>
      <c r="J41" s="132"/>
      <c r="K41" s="132">
        <f t="shared" si="1"/>
        <v>0</v>
      </c>
      <c r="L41" s="132"/>
      <c r="M41" s="491"/>
      <c r="N41" s="132"/>
      <c r="O41" s="132">
        <f t="shared" si="2"/>
        <v>0</v>
      </c>
    </row>
    <row r="42" spans="1:15" ht="12.75">
      <c r="A42" s="30"/>
      <c r="B42" s="25" t="s">
        <v>187</v>
      </c>
      <c r="C42" s="32">
        <v>806</v>
      </c>
      <c r="D42" s="22"/>
      <c r="E42" s="22"/>
      <c r="F42" s="32"/>
      <c r="G42" s="32">
        <v>814</v>
      </c>
      <c r="H42" s="32"/>
      <c r="I42" s="32">
        <f t="shared" si="6"/>
        <v>814</v>
      </c>
      <c r="J42" s="32"/>
      <c r="K42" s="32">
        <f t="shared" si="1"/>
        <v>814</v>
      </c>
      <c r="L42" s="32">
        <v>377</v>
      </c>
      <c r="M42" s="494">
        <f t="shared" si="3"/>
        <v>0.4631449631449631</v>
      </c>
      <c r="N42" s="32"/>
      <c r="O42" s="32">
        <f t="shared" si="2"/>
        <v>814</v>
      </c>
    </row>
    <row r="43" spans="1:15" ht="12.75">
      <c r="A43" s="30"/>
      <c r="B43" s="25" t="s">
        <v>405</v>
      </c>
      <c r="C43" s="32"/>
      <c r="D43" s="22"/>
      <c r="E43" s="22"/>
      <c r="F43" s="32"/>
      <c r="G43" s="32"/>
      <c r="H43" s="32"/>
      <c r="I43" s="32">
        <f t="shared" si="6"/>
        <v>0</v>
      </c>
      <c r="J43" s="32"/>
      <c r="K43" s="32">
        <f t="shared" si="1"/>
        <v>0</v>
      </c>
      <c r="L43" s="32">
        <v>101</v>
      </c>
      <c r="M43" s="494"/>
      <c r="N43" s="32"/>
      <c r="O43" s="32">
        <f t="shared" si="2"/>
        <v>0</v>
      </c>
    </row>
    <row r="44" spans="1:15" ht="13.5" thickBot="1">
      <c r="A44" s="30"/>
      <c r="B44" s="25" t="s">
        <v>129</v>
      </c>
      <c r="C44" s="32"/>
      <c r="D44" s="22"/>
      <c r="E44" s="22"/>
      <c r="F44" s="32"/>
      <c r="G44" s="32"/>
      <c r="H44" s="32"/>
      <c r="I44" s="32">
        <f t="shared" si="6"/>
        <v>0</v>
      </c>
      <c r="J44" s="32"/>
      <c r="K44" s="32">
        <f t="shared" si="1"/>
        <v>0</v>
      </c>
      <c r="L44" s="32"/>
      <c r="M44" s="494"/>
      <c r="N44" s="32"/>
      <c r="O44" s="32">
        <f t="shared" si="2"/>
        <v>0</v>
      </c>
    </row>
    <row r="45" spans="1:15" ht="13.5" thickBot="1">
      <c r="A45" s="35" t="s">
        <v>44</v>
      </c>
      <c r="B45" s="104" t="s">
        <v>45</v>
      </c>
      <c r="C45" s="36">
        <v>34427</v>
      </c>
      <c r="D45" s="36"/>
      <c r="E45" s="36"/>
      <c r="F45" s="36"/>
      <c r="G45" s="36">
        <v>10000</v>
      </c>
      <c r="H45" s="36"/>
      <c r="I45" s="36">
        <f t="shared" si="6"/>
        <v>10000</v>
      </c>
      <c r="J45" s="36"/>
      <c r="K45" s="36">
        <f t="shared" si="1"/>
        <v>10000</v>
      </c>
      <c r="L45" s="36"/>
      <c r="M45" s="497">
        <f t="shared" si="3"/>
        <v>0</v>
      </c>
      <c r="N45" s="36"/>
      <c r="O45" s="36">
        <f t="shared" si="2"/>
        <v>10000</v>
      </c>
    </row>
    <row r="46" spans="1:15" ht="13.5" thickBot="1">
      <c r="A46" s="35" t="s">
        <v>46</v>
      </c>
      <c r="B46" s="105" t="s">
        <v>104</v>
      </c>
      <c r="C46" s="106"/>
      <c r="D46" s="106"/>
      <c r="E46" s="106"/>
      <c r="F46" s="106"/>
      <c r="G46" s="106"/>
      <c r="H46" s="520">
        <f>9801+1894</f>
        <v>11695</v>
      </c>
      <c r="I46" s="521">
        <f t="shared" si="6"/>
        <v>11695</v>
      </c>
      <c r="J46" s="520"/>
      <c r="K46" s="520">
        <f t="shared" si="1"/>
        <v>11695</v>
      </c>
      <c r="L46" s="520">
        <v>9801</v>
      </c>
      <c r="M46" s="497">
        <f t="shared" si="3"/>
        <v>0.8380504489097905</v>
      </c>
      <c r="N46" s="106"/>
      <c r="O46" s="520">
        <f t="shared" si="2"/>
        <v>11695</v>
      </c>
    </row>
    <row r="47" spans="1:15" ht="13.5" thickBot="1">
      <c r="A47" s="107" t="s">
        <v>27</v>
      </c>
      <c r="B47" s="37" t="s">
        <v>47</v>
      </c>
      <c r="C47" s="108">
        <f aca="true" t="shared" si="7" ref="C47:H47">C6+C12+C18+C22+C30+C36+C45+C46</f>
        <v>816115.84</v>
      </c>
      <c r="D47" s="108">
        <f t="shared" si="7"/>
        <v>10952</v>
      </c>
      <c r="E47" s="108">
        <f t="shared" si="7"/>
        <v>21863</v>
      </c>
      <c r="F47" s="108">
        <f t="shared" si="7"/>
        <v>0</v>
      </c>
      <c r="G47" s="108">
        <f t="shared" si="7"/>
        <v>850934.12</v>
      </c>
      <c r="H47" s="108">
        <f t="shared" si="7"/>
        <v>24742</v>
      </c>
      <c r="I47" s="108">
        <f t="shared" si="6"/>
        <v>875676.12</v>
      </c>
      <c r="J47" s="108">
        <f>J6+J12+J18+J22+J30+J36+J45+J46</f>
        <v>60349</v>
      </c>
      <c r="K47" s="108">
        <f t="shared" si="1"/>
        <v>936025.12</v>
      </c>
      <c r="L47" s="108">
        <f>L6+L12+L18+L22+L30+L36+L45+L46</f>
        <v>593061</v>
      </c>
      <c r="M47" s="498">
        <f t="shared" si="3"/>
        <v>0.6335951753089704</v>
      </c>
      <c r="N47" s="108">
        <f>N6+N12+N18+N22+N30+N36+N45+N46</f>
        <v>28100</v>
      </c>
      <c r="O47" s="108">
        <f t="shared" si="2"/>
        <v>964125.12</v>
      </c>
    </row>
    <row r="48" spans="1:15" ht="17.25" customHeight="1">
      <c r="A48" s="29" t="s">
        <v>48</v>
      </c>
      <c r="B48" s="39" t="s">
        <v>49</v>
      </c>
      <c r="C48" s="38"/>
      <c r="D48" s="81"/>
      <c r="E48" s="81"/>
      <c r="F48" s="38"/>
      <c r="G48" s="38"/>
      <c r="H48" s="38"/>
      <c r="I48" s="38">
        <f t="shared" si="6"/>
        <v>0</v>
      </c>
      <c r="J48" s="38"/>
      <c r="K48" s="38">
        <f t="shared" si="1"/>
        <v>0</v>
      </c>
      <c r="L48" s="38"/>
      <c r="M48" s="496"/>
      <c r="N48" s="38"/>
      <c r="O48" s="38">
        <f t="shared" si="2"/>
        <v>0</v>
      </c>
    </row>
    <row r="49" spans="1:15" ht="12.75">
      <c r="A49" s="29" t="s">
        <v>29</v>
      </c>
      <c r="B49" s="39" t="s">
        <v>188</v>
      </c>
      <c r="C49" s="88">
        <v>328284</v>
      </c>
      <c r="D49" s="82"/>
      <c r="E49" s="82"/>
      <c r="F49" s="88"/>
      <c r="G49" s="147">
        <v>149937</v>
      </c>
      <c r="H49" s="147"/>
      <c r="I49" s="147">
        <f t="shared" si="6"/>
        <v>149937</v>
      </c>
      <c r="J49" s="147"/>
      <c r="K49" s="147">
        <f t="shared" si="1"/>
        <v>149937</v>
      </c>
      <c r="L49" s="147">
        <v>575</v>
      </c>
      <c r="M49" s="499">
        <f t="shared" si="3"/>
        <v>0.0038349440098174566</v>
      </c>
      <c r="N49" s="147"/>
      <c r="O49" s="147">
        <f t="shared" si="2"/>
        <v>149937</v>
      </c>
    </row>
    <row r="50" spans="1:15" ht="12.75">
      <c r="A50" s="30" t="s">
        <v>35</v>
      </c>
      <c r="B50" s="9" t="s">
        <v>14</v>
      </c>
      <c r="C50" s="52">
        <v>57222</v>
      </c>
      <c r="D50" s="83"/>
      <c r="E50" s="83"/>
      <c r="F50" s="52"/>
      <c r="G50" s="52">
        <v>60341</v>
      </c>
      <c r="H50" s="52"/>
      <c r="I50" s="52">
        <f t="shared" si="6"/>
        <v>60341</v>
      </c>
      <c r="J50" s="52"/>
      <c r="K50" s="52">
        <f t="shared" si="1"/>
        <v>60341</v>
      </c>
      <c r="L50" s="52">
        <v>28611</v>
      </c>
      <c r="M50" s="500">
        <f t="shared" si="3"/>
        <v>0.47415521784524617</v>
      </c>
      <c r="N50" s="52">
        <v>28039</v>
      </c>
      <c r="O50" s="52">
        <f t="shared" si="2"/>
        <v>88380</v>
      </c>
    </row>
    <row r="51" spans="1:15" ht="12.75">
      <c r="A51" s="19" t="s">
        <v>37</v>
      </c>
      <c r="B51" s="40" t="s">
        <v>50</v>
      </c>
      <c r="C51" s="53">
        <f>SUM(C52:C56)</f>
        <v>444002</v>
      </c>
      <c r="D51" s="53">
        <f>SUM(D52:D56)</f>
        <v>0</v>
      </c>
      <c r="E51" s="53">
        <f>SUM(E52:E56)</f>
        <v>0</v>
      </c>
      <c r="F51" s="53">
        <f>SUM(F52:F56)</f>
        <v>0</v>
      </c>
      <c r="G51" s="53">
        <v>126654</v>
      </c>
      <c r="H51" s="53"/>
      <c r="I51" s="53">
        <f t="shared" si="6"/>
        <v>126654</v>
      </c>
      <c r="J51" s="53">
        <f>SUM(J52:J56)</f>
        <v>0</v>
      </c>
      <c r="K51" s="53">
        <f t="shared" si="1"/>
        <v>126654</v>
      </c>
      <c r="L51" s="53">
        <f>SUM(L52:L56)</f>
        <v>93142</v>
      </c>
      <c r="M51" s="501">
        <f t="shared" si="3"/>
        <v>0.7354051194593143</v>
      </c>
      <c r="N51" s="53">
        <f>SUM(N52:N56)</f>
        <v>227085</v>
      </c>
      <c r="O51" s="53">
        <f t="shared" si="2"/>
        <v>353739</v>
      </c>
    </row>
    <row r="52" spans="1:15" ht="12.75">
      <c r="A52" s="19"/>
      <c r="B52" s="109" t="s">
        <v>105</v>
      </c>
      <c r="C52" s="91">
        <v>200</v>
      </c>
      <c r="D52" s="81"/>
      <c r="E52" s="84"/>
      <c r="F52" s="91"/>
      <c r="G52" s="91"/>
      <c r="H52" s="91"/>
      <c r="I52" s="91">
        <f t="shared" si="6"/>
        <v>0</v>
      </c>
      <c r="J52" s="91"/>
      <c r="K52" s="91">
        <f t="shared" si="1"/>
        <v>0</v>
      </c>
      <c r="L52" s="91"/>
      <c r="M52" s="502"/>
      <c r="N52" s="91"/>
      <c r="O52" s="91">
        <f t="shared" si="2"/>
        <v>0</v>
      </c>
    </row>
    <row r="53" spans="1:15" ht="12.75">
      <c r="A53" s="19"/>
      <c r="B53" s="109" t="s">
        <v>362</v>
      </c>
      <c r="C53" s="91"/>
      <c r="D53" s="81"/>
      <c r="E53" s="84"/>
      <c r="F53" s="91"/>
      <c r="G53" s="91"/>
      <c r="H53" s="91"/>
      <c r="I53" s="91"/>
      <c r="J53" s="91"/>
      <c r="K53" s="91">
        <f t="shared" si="1"/>
        <v>0</v>
      </c>
      <c r="L53" s="91">
        <v>4161</v>
      </c>
      <c r="M53" s="502"/>
      <c r="N53" s="91">
        <v>4161</v>
      </c>
      <c r="O53" s="91">
        <f t="shared" si="2"/>
        <v>4161</v>
      </c>
    </row>
    <row r="54" spans="1:15" ht="12.75">
      <c r="A54" s="19"/>
      <c r="B54" s="109" t="s">
        <v>106</v>
      </c>
      <c r="C54" s="91">
        <v>3000</v>
      </c>
      <c r="D54" s="81"/>
      <c r="E54" s="84"/>
      <c r="F54" s="91"/>
      <c r="G54" s="91">
        <v>4500</v>
      </c>
      <c r="H54" s="91"/>
      <c r="I54" s="91">
        <f aca="true" t="shared" si="8" ref="I54:I66">+G54+H54</f>
        <v>4500</v>
      </c>
      <c r="J54" s="91"/>
      <c r="K54" s="91">
        <f t="shared" si="1"/>
        <v>4500</v>
      </c>
      <c r="L54" s="91">
        <f>1709+171+1</f>
        <v>1881</v>
      </c>
      <c r="M54" s="502">
        <f t="shared" si="3"/>
        <v>0.418</v>
      </c>
      <c r="N54" s="91"/>
      <c r="O54" s="91">
        <f t="shared" si="2"/>
        <v>4500</v>
      </c>
    </row>
    <row r="55" spans="1:15" ht="12.75">
      <c r="A55" s="19"/>
      <c r="B55" s="109" t="s">
        <v>107</v>
      </c>
      <c r="C55" s="91">
        <v>15000</v>
      </c>
      <c r="D55" s="81"/>
      <c r="E55" s="84"/>
      <c r="F55" s="91"/>
      <c r="G55" s="91">
        <v>1200</v>
      </c>
      <c r="H55" s="91"/>
      <c r="I55" s="91">
        <f t="shared" si="8"/>
        <v>1200</v>
      </c>
      <c r="J55" s="91"/>
      <c r="K55" s="91">
        <f t="shared" si="1"/>
        <v>1200</v>
      </c>
      <c r="L55" s="91">
        <v>0</v>
      </c>
      <c r="M55" s="502">
        <f t="shared" si="3"/>
        <v>0</v>
      </c>
      <c r="N55" s="91"/>
      <c r="O55" s="91">
        <f t="shared" si="2"/>
        <v>1200</v>
      </c>
    </row>
    <row r="56" spans="1:15" ht="12.75">
      <c r="A56" s="19"/>
      <c r="B56" s="109" t="s">
        <v>108</v>
      </c>
      <c r="C56" s="91">
        <v>425802</v>
      </c>
      <c r="D56" s="81"/>
      <c r="E56" s="84"/>
      <c r="F56" s="91"/>
      <c r="G56" s="103">
        <v>120954</v>
      </c>
      <c r="H56" s="103"/>
      <c r="I56" s="103">
        <f t="shared" si="8"/>
        <v>120954</v>
      </c>
      <c r="J56" s="103"/>
      <c r="K56" s="103">
        <f t="shared" si="1"/>
        <v>120954</v>
      </c>
      <c r="L56" s="103">
        <f>76247+10880-27</f>
        <v>87100</v>
      </c>
      <c r="M56" s="495">
        <f t="shared" si="3"/>
        <v>0.720108470988971</v>
      </c>
      <c r="N56" s="103">
        <f>672+223439-1187</f>
        <v>222924</v>
      </c>
      <c r="O56" s="103">
        <f t="shared" si="2"/>
        <v>343878</v>
      </c>
    </row>
    <row r="57" spans="1:15" ht="12.75">
      <c r="A57" s="19" t="s">
        <v>40</v>
      </c>
      <c r="B57" s="109" t="s">
        <v>51</v>
      </c>
      <c r="C57" s="91">
        <v>35000</v>
      </c>
      <c r="D57" s="81"/>
      <c r="E57" s="84"/>
      <c r="F57" s="91"/>
      <c r="G57" s="91"/>
      <c r="H57" s="91"/>
      <c r="I57" s="91">
        <f t="shared" si="8"/>
        <v>0</v>
      </c>
      <c r="J57" s="91"/>
      <c r="K57" s="91">
        <f t="shared" si="1"/>
        <v>0</v>
      </c>
      <c r="L57" s="91"/>
      <c r="M57" s="502"/>
      <c r="N57" s="91"/>
      <c r="O57" s="91">
        <f t="shared" si="2"/>
        <v>0</v>
      </c>
    </row>
    <row r="58" spans="1:15" ht="12.75">
      <c r="A58" s="507" t="s">
        <v>43</v>
      </c>
      <c r="B58" s="508" t="s">
        <v>109</v>
      </c>
      <c r="C58" s="509">
        <f>SUM(C59:C63)</f>
        <v>399478</v>
      </c>
      <c r="D58" s="510">
        <f>SUM(D59:D63)</f>
        <v>0</v>
      </c>
      <c r="E58" s="511">
        <f>SUM(E59:E63)</f>
        <v>0</v>
      </c>
      <c r="F58" s="509"/>
      <c r="G58" s="509"/>
      <c r="H58" s="509">
        <f>14789-11695</f>
        <v>3094</v>
      </c>
      <c r="I58" s="509">
        <f t="shared" si="8"/>
        <v>3094</v>
      </c>
      <c r="J58" s="509"/>
      <c r="K58" s="509">
        <f t="shared" si="1"/>
        <v>3094</v>
      </c>
      <c r="L58" s="509">
        <v>3094</v>
      </c>
      <c r="M58" s="512">
        <f t="shared" si="3"/>
        <v>1</v>
      </c>
      <c r="N58" s="509"/>
      <c r="O58" s="509">
        <f t="shared" si="2"/>
        <v>3094</v>
      </c>
    </row>
    <row r="59" spans="1:15" ht="12.75">
      <c r="A59" s="19"/>
      <c r="B59" s="109" t="s">
        <v>52</v>
      </c>
      <c r="C59" s="91"/>
      <c r="D59" s="81"/>
      <c r="E59" s="84"/>
      <c r="F59" s="91"/>
      <c r="G59" s="91"/>
      <c r="H59" s="91"/>
      <c r="I59" s="91">
        <f t="shared" si="8"/>
        <v>0</v>
      </c>
      <c r="J59" s="91"/>
      <c r="K59" s="91">
        <f t="shared" si="1"/>
        <v>0</v>
      </c>
      <c r="L59" s="91"/>
      <c r="M59" s="502"/>
      <c r="N59" s="91"/>
      <c r="O59" s="91">
        <f t="shared" si="2"/>
        <v>0</v>
      </c>
    </row>
    <row r="60" spans="1:15" ht="12.75">
      <c r="A60" s="19"/>
      <c r="B60" s="109" t="s">
        <v>92</v>
      </c>
      <c r="C60" s="91">
        <v>30147</v>
      </c>
      <c r="D60" s="81"/>
      <c r="E60" s="84"/>
      <c r="F60" s="91"/>
      <c r="G60" s="91"/>
      <c r="H60" s="91"/>
      <c r="I60" s="91">
        <f t="shared" si="8"/>
        <v>0</v>
      </c>
      <c r="J60" s="91"/>
      <c r="K60" s="91">
        <f t="shared" si="1"/>
        <v>0</v>
      </c>
      <c r="L60" s="91"/>
      <c r="M60" s="502"/>
      <c r="N60" s="91"/>
      <c r="O60" s="91">
        <f t="shared" si="2"/>
        <v>0</v>
      </c>
    </row>
    <row r="61" spans="1:15" ht="12.75">
      <c r="A61" s="19"/>
      <c r="B61" s="109" t="s">
        <v>53</v>
      </c>
      <c r="C61" s="91">
        <v>12000</v>
      </c>
      <c r="D61" s="81"/>
      <c r="E61" s="84"/>
      <c r="F61" s="91"/>
      <c r="G61" s="91"/>
      <c r="H61" s="91"/>
      <c r="I61" s="91">
        <f t="shared" si="8"/>
        <v>0</v>
      </c>
      <c r="J61" s="91"/>
      <c r="K61" s="91">
        <f t="shared" si="1"/>
        <v>0</v>
      </c>
      <c r="L61" s="91"/>
      <c r="M61" s="502"/>
      <c r="N61" s="91"/>
      <c r="O61" s="91">
        <f t="shared" si="2"/>
        <v>0</v>
      </c>
    </row>
    <row r="62" spans="1:15" ht="12.75">
      <c r="A62" s="19"/>
      <c r="B62" s="109" t="s">
        <v>89</v>
      </c>
      <c r="C62" s="91">
        <v>35000</v>
      </c>
      <c r="D62" s="81"/>
      <c r="E62" s="84"/>
      <c r="F62" s="91"/>
      <c r="G62" s="91"/>
      <c r="H62" s="91"/>
      <c r="I62" s="91">
        <f t="shared" si="8"/>
        <v>0</v>
      </c>
      <c r="J62" s="91"/>
      <c r="K62" s="91">
        <f t="shared" si="1"/>
        <v>0</v>
      </c>
      <c r="L62" s="91"/>
      <c r="M62" s="502"/>
      <c r="N62" s="91"/>
      <c r="O62" s="91">
        <f t="shared" si="2"/>
        <v>0</v>
      </c>
    </row>
    <row r="63" spans="1:15" ht="13.5" thickBot="1">
      <c r="A63" s="19"/>
      <c r="B63" s="109" t="s">
        <v>90</v>
      </c>
      <c r="C63" s="91">
        <v>322331</v>
      </c>
      <c r="D63" s="81"/>
      <c r="E63" s="84"/>
      <c r="F63" s="91"/>
      <c r="G63" s="91"/>
      <c r="H63" s="91"/>
      <c r="I63" s="91">
        <f t="shared" si="8"/>
        <v>0</v>
      </c>
      <c r="J63" s="91"/>
      <c r="K63" s="91">
        <f t="shared" si="1"/>
        <v>0</v>
      </c>
      <c r="L63" s="91"/>
      <c r="M63" s="502"/>
      <c r="N63" s="91"/>
      <c r="O63" s="91">
        <f t="shared" si="2"/>
        <v>0</v>
      </c>
    </row>
    <row r="64" spans="1:15" ht="13.5" thickBot="1">
      <c r="A64" s="107" t="s">
        <v>48</v>
      </c>
      <c r="B64" s="37" t="s">
        <v>110</v>
      </c>
      <c r="C64" s="108">
        <f aca="true" t="shared" si="9" ref="C64:H64">C49+C50+C51+C58+C57</f>
        <v>1263986</v>
      </c>
      <c r="D64" s="108">
        <f t="shared" si="9"/>
        <v>0</v>
      </c>
      <c r="E64" s="108">
        <f t="shared" si="9"/>
        <v>0</v>
      </c>
      <c r="F64" s="108">
        <f t="shared" si="9"/>
        <v>0</v>
      </c>
      <c r="G64" s="108">
        <f t="shared" si="9"/>
        <v>336932</v>
      </c>
      <c r="H64" s="108">
        <f t="shared" si="9"/>
        <v>3094</v>
      </c>
      <c r="I64" s="108">
        <f t="shared" si="8"/>
        <v>340026</v>
      </c>
      <c r="J64" s="108">
        <f>J49+J50+J51+J58+J57</f>
        <v>0</v>
      </c>
      <c r="K64" s="108">
        <f t="shared" si="1"/>
        <v>340026</v>
      </c>
      <c r="L64" s="108">
        <f>L49+L50+L51+L58+L57</f>
        <v>125422</v>
      </c>
      <c r="M64" s="498">
        <f t="shared" si="3"/>
        <v>0.3688600283507732</v>
      </c>
      <c r="N64" s="108">
        <f>N49+N50+N51+N58+N57</f>
        <v>255124</v>
      </c>
      <c r="O64" s="108">
        <f t="shared" si="2"/>
        <v>595150</v>
      </c>
    </row>
    <row r="65" spans="1:15" ht="12.75">
      <c r="A65" s="110" t="s">
        <v>54</v>
      </c>
      <c r="B65" s="111" t="s">
        <v>111</v>
      </c>
      <c r="C65" s="112"/>
      <c r="D65" s="112"/>
      <c r="E65" s="112"/>
      <c r="F65" s="112"/>
      <c r="G65" s="112"/>
      <c r="H65" s="112"/>
      <c r="I65" s="112">
        <f t="shared" si="8"/>
        <v>0</v>
      </c>
      <c r="J65" s="112"/>
      <c r="K65" s="112">
        <f t="shared" si="1"/>
        <v>0</v>
      </c>
      <c r="L65" s="112">
        <v>-13</v>
      </c>
      <c r="M65" s="503"/>
      <c r="N65" s="112"/>
      <c r="O65" s="112">
        <f t="shared" si="2"/>
        <v>0</v>
      </c>
    </row>
    <row r="66" spans="1:15" ht="13.5" thickBot="1">
      <c r="A66" s="42" t="s">
        <v>55</v>
      </c>
      <c r="B66" s="43" t="s">
        <v>112</v>
      </c>
      <c r="C66" s="44">
        <f aca="true" t="shared" si="10" ref="C66:H66">C47+C64+C65</f>
        <v>2080101.8399999999</v>
      </c>
      <c r="D66" s="44">
        <f t="shared" si="10"/>
        <v>10952</v>
      </c>
      <c r="E66" s="44">
        <f t="shared" si="10"/>
        <v>21863</v>
      </c>
      <c r="F66" s="44">
        <f t="shared" si="10"/>
        <v>0</v>
      </c>
      <c r="G66" s="44">
        <f t="shared" si="10"/>
        <v>1187866.12</v>
      </c>
      <c r="H66" s="44">
        <f t="shared" si="10"/>
        <v>27836</v>
      </c>
      <c r="I66" s="44">
        <f t="shared" si="8"/>
        <v>1215702.12</v>
      </c>
      <c r="J66" s="44">
        <f>J47+J64+J65</f>
        <v>60349</v>
      </c>
      <c r="K66" s="44">
        <f t="shared" si="1"/>
        <v>1276051.12</v>
      </c>
      <c r="L66" s="44">
        <f>L47+L64+L65</f>
        <v>718470</v>
      </c>
      <c r="M66" s="504">
        <f t="shared" si="3"/>
        <v>0.5630417063542094</v>
      </c>
      <c r="N66" s="44">
        <f>N47+N64+N65</f>
        <v>283224</v>
      </c>
      <c r="O66" s="44">
        <f t="shared" si="2"/>
        <v>1559275.12</v>
      </c>
    </row>
    <row r="67" spans="3:15" ht="12.75">
      <c r="C67" s="85"/>
      <c r="E67" s="45">
        <f>SUM(C66:E66)</f>
        <v>2112916.84</v>
      </c>
      <c r="F67" s="85"/>
      <c r="G67" s="85"/>
      <c r="H67" s="85"/>
      <c r="I67" s="85"/>
      <c r="J67" s="85"/>
      <c r="K67" s="85"/>
      <c r="L67" s="85"/>
      <c r="N67" s="85"/>
      <c r="O67" s="85"/>
    </row>
    <row r="68" spans="3:15" ht="12.75">
      <c r="C68" s="45"/>
      <c r="F68" s="45"/>
      <c r="G68" s="45"/>
      <c r="H68" s="45"/>
      <c r="I68" s="45"/>
      <c r="J68" s="45"/>
      <c r="K68" s="45"/>
      <c r="L68" s="45"/>
      <c r="N68" s="45"/>
      <c r="O68" s="45"/>
    </row>
    <row r="70" spans="7:15" ht="12.75">
      <c r="G70" s="41"/>
      <c r="H70" s="41"/>
      <c r="I70" s="41"/>
      <c r="J70" s="41"/>
      <c r="K70" s="41"/>
      <c r="L70" s="41"/>
      <c r="M70" s="506"/>
      <c r="N70" s="41"/>
      <c r="O70" s="41"/>
    </row>
    <row r="71" spans="7:15" ht="12.75">
      <c r="G71" s="41"/>
      <c r="H71" s="41"/>
      <c r="I71" s="41"/>
      <c r="J71" s="41"/>
      <c r="K71" s="41"/>
      <c r="L71" s="41"/>
      <c r="M71" s="506"/>
      <c r="N71" s="41"/>
      <c r="O71" s="41"/>
    </row>
    <row r="72" spans="7:15" ht="12.75">
      <c r="G72" s="41"/>
      <c r="H72" s="41"/>
      <c r="I72" s="41"/>
      <c r="J72" s="41"/>
      <c r="K72" s="41"/>
      <c r="L72" s="41"/>
      <c r="M72" s="506"/>
      <c r="N72" s="41"/>
      <c r="O72" s="41"/>
    </row>
    <row r="73" spans="7:15" ht="12.75">
      <c r="G73" s="41"/>
      <c r="H73" s="41"/>
      <c r="I73" s="41"/>
      <c r="J73" s="41"/>
      <c r="K73" s="41"/>
      <c r="L73" s="41"/>
      <c r="M73" s="506"/>
      <c r="N73" s="41"/>
      <c r="O73" s="41"/>
    </row>
    <row r="74" spans="7:15" ht="12.75">
      <c r="G74" s="41"/>
      <c r="H74" s="41"/>
      <c r="I74" s="41"/>
      <c r="J74" s="41"/>
      <c r="K74" s="41"/>
      <c r="L74" s="41"/>
      <c r="M74" s="506"/>
      <c r="N74" s="41"/>
      <c r="O74" s="41"/>
    </row>
    <row r="75" spans="7:15" ht="12.75">
      <c r="G75" s="41"/>
      <c r="H75" s="41"/>
      <c r="I75" s="41"/>
      <c r="J75" s="41"/>
      <c r="K75" s="41"/>
      <c r="L75" s="41"/>
      <c r="M75" s="506"/>
      <c r="N75" s="41"/>
      <c r="O75" s="41"/>
    </row>
    <row r="76" spans="7:15" ht="12.75">
      <c r="G76" s="41"/>
      <c r="H76" s="41"/>
      <c r="I76" s="41"/>
      <c r="J76" s="41"/>
      <c r="K76" s="41"/>
      <c r="L76" s="41"/>
      <c r="M76" s="506"/>
      <c r="N76" s="41"/>
      <c r="O76" s="41"/>
    </row>
  </sheetData>
  <mergeCells count="1">
    <mergeCell ref="C1:E1"/>
  </mergeCells>
  <printOptions horizontalCentered="1"/>
  <pageMargins left="0.35433070866141736" right="0.1968503937007874" top="1.535433070866142" bottom="0.7086614173228347" header="0.3937007874015748" footer="0.15748031496062992"/>
  <pageSetup fitToHeight="2" fitToWidth="1" horizontalDpi="600" verticalDpi="600" orientation="landscape" paperSize="9" scale="69" r:id="rId3"/>
  <headerFooter alignWithMargins="0">
    <oddHeader>&amp;L
2/A sz.melléklet&amp;C&amp;"Arial,Félkövér"&amp;12Nagykovácsi Nagyközség Önkormányzatának
2012.évi bevételei forrásonként&amp;R
adatok eFt-ban</oddHeader>
    <oddFooter>&amp;L&amp;8&amp;D&amp;C&amp;P&amp;R&amp;F</oddFooter>
  </headerFooter>
  <rowBreaks count="1" manualBreakCount="1">
    <brk id="47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0">
    <tabColor indexed="45"/>
    <pageSetUpPr fitToPage="1"/>
  </sheetPr>
  <dimension ref="A2:L28"/>
  <sheetViews>
    <sheetView workbookViewId="0" topLeftCell="A1">
      <selection activeCell="F27" sqref="F27"/>
    </sheetView>
  </sheetViews>
  <sheetFormatPr defaultColWidth="9.140625" defaultRowHeight="12.75"/>
  <cols>
    <col min="1" max="1" width="7.140625" style="2" customWidth="1"/>
    <col min="2" max="2" width="64.57421875" style="2" bestFit="1" customWidth="1"/>
    <col min="3" max="3" width="16.421875" style="2" customWidth="1"/>
    <col min="4" max="4" width="9.140625" style="2" customWidth="1"/>
    <col min="5" max="5" width="13.7109375" style="239" bestFit="1" customWidth="1"/>
    <col min="6" max="6" width="13.7109375" style="239" customWidth="1"/>
    <col min="7" max="7" width="20.00390625" style="134" customWidth="1"/>
    <col min="8" max="8" width="0" style="2" hidden="1" customWidth="1"/>
    <col min="9" max="9" width="13.7109375" style="239" hidden="1" customWidth="1"/>
    <col min="10" max="10" width="16.28125" style="2" bestFit="1" customWidth="1"/>
    <col min="11" max="11" width="20.00390625" style="2" bestFit="1" customWidth="1"/>
    <col min="12" max="12" width="14.7109375" style="2" bestFit="1" customWidth="1"/>
    <col min="13" max="16384" width="9.140625" style="2" customWidth="1"/>
  </cols>
  <sheetData>
    <row r="1" ht="13.5" thickBot="1"/>
    <row r="2" spans="1:9" s="243" customFormat="1" ht="26.25" customHeight="1" thickBot="1">
      <c r="A2" s="240"/>
      <c r="B2" s="241"/>
      <c r="C2" s="565" t="s">
        <v>398</v>
      </c>
      <c r="D2" s="566"/>
      <c r="E2" s="567"/>
      <c r="F2" s="242"/>
      <c r="G2" s="513"/>
      <c r="H2" s="242"/>
      <c r="I2" s="275"/>
    </row>
    <row r="3" spans="1:9" ht="50.25" customHeight="1" thickBot="1">
      <c r="A3" s="67" t="s">
        <v>11</v>
      </c>
      <c r="B3" s="62" t="s">
        <v>7</v>
      </c>
      <c r="C3" s="115" t="s">
        <v>196</v>
      </c>
      <c r="D3" s="115" t="s">
        <v>197</v>
      </c>
      <c r="E3" s="115" t="s">
        <v>198</v>
      </c>
      <c r="F3" s="461" t="s">
        <v>396</v>
      </c>
      <c r="G3" s="514" t="s">
        <v>406</v>
      </c>
      <c r="H3" s="115" t="s">
        <v>357</v>
      </c>
      <c r="I3" s="115" t="s">
        <v>358</v>
      </c>
    </row>
    <row r="4" spans="1:9" ht="12.75">
      <c r="A4" s="5"/>
      <c r="B4" s="122" t="s">
        <v>18</v>
      </c>
      <c r="C4" s="129"/>
      <c r="D4" s="129"/>
      <c r="E4" s="129"/>
      <c r="F4" s="129"/>
      <c r="G4" s="515"/>
      <c r="H4" s="129"/>
      <c r="I4" s="129"/>
    </row>
    <row r="5" spans="1:9" ht="12.75">
      <c r="A5" s="5">
        <v>1</v>
      </c>
      <c r="B5" s="123" t="s">
        <v>199</v>
      </c>
      <c r="C5" s="116">
        <v>38400</v>
      </c>
      <c r="D5" s="116">
        <f>+C5*0.27</f>
        <v>10368</v>
      </c>
      <c r="E5" s="116">
        <f>+C5+D5</f>
        <v>48768</v>
      </c>
      <c r="F5" s="116"/>
      <c r="G5" s="155">
        <f>+F5/C5</f>
        <v>0</v>
      </c>
      <c r="H5" s="116"/>
      <c r="I5" s="116">
        <f>+E5+H5</f>
        <v>48768</v>
      </c>
    </row>
    <row r="6" spans="1:9" ht="12.75">
      <c r="A6" s="5">
        <v>2</v>
      </c>
      <c r="B6" s="123" t="s">
        <v>327</v>
      </c>
      <c r="C6" s="117">
        <v>59800</v>
      </c>
      <c r="D6" s="116">
        <f>+C6*0.27</f>
        <v>16146.000000000002</v>
      </c>
      <c r="E6" s="116">
        <f>+C6+D6</f>
        <v>75946</v>
      </c>
      <c r="F6" s="116"/>
      <c r="G6" s="155">
        <f aca="true" t="shared" si="0" ref="G6:G23">+F6/C6</f>
        <v>0</v>
      </c>
      <c r="H6" s="116"/>
      <c r="I6" s="116">
        <f aca="true" t="shared" si="1" ref="I6:I20">+E6+H6</f>
        <v>75946</v>
      </c>
    </row>
    <row r="7" spans="1:9" ht="12.75">
      <c r="A7" s="5">
        <v>3</v>
      </c>
      <c r="B7" s="7" t="s">
        <v>81</v>
      </c>
      <c r="C7" s="118">
        <v>31285</v>
      </c>
      <c r="D7" s="116">
        <f>+C7*0.27</f>
        <v>8446.95</v>
      </c>
      <c r="E7" s="116">
        <f>+C7+D7</f>
        <v>39731.95</v>
      </c>
      <c r="F7" s="116"/>
      <c r="G7" s="155">
        <f t="shared" si="0"/>
        <v>0</v>
      </c>
      <c r="H7" s="116"/>
      <c r="I7" s="116">
        <f t="shared" si="1"/>
        <v>39731.95</v>
      </c>
    </row>
    <row r="8" spans="1:9" ht="12.75">
      <c r="A8" s="5">
        <v>4</v>
      </c>
      <c r="B8" s="6" t="s">
        <v>20</v>
      </c>
      <c r="C8" s="116">
        <f>10000+452</f>
        <v>10452</v>
      </c>
      <c r="D8" s="116">
        <f>+C8*0.27</f>
        <v>2822.04</v>
      </c>
      <c r="E8" s="116">
        <f>+C8+D8</f>
        <v>13274.04</v>
      </c>
      <c r="F8" s="116">
        <v>575</v>
      </c>
      <c r="G8" s="155">
        <f t="shared" si="0"/>
        <v>0.055013394565633374</v>
      </c>
      <c r="H8" s="116"/>
      <c r="I8" s="116">
        <f t="shared" si="1"/>
        <v>13274.04</v>
      </c>
    </row>
    <row r="9" spans="1:9" ht="12.75">
      <c r="A9" s="5">
        <v>5</v>
      </c>
      <c r="B9" s="75" t="s">
        <v>137</v>
      </c>
      <c r="C9" s="116">
        <v>10000</v>
      </c>
      <c r="D9" s="116">
        <f>+C9*0.27</f>
        <v>2700</v>
      </c>
      <c r="E9" s="116">
        <f>+C9+D9</f>
        <v>12700</v>
      </c>
      <c r="F9" s="116"/>
      <c r="G9" s="155">
        <f t="shared" si="0"/>
        <v>0</v>
      </c>
      <c r="H9" s="116"/>
      <c r="I9" s="116">
        <f t="shared" si="1"/>
        <v>12700</v>
      </c>
    </row>
    <row r="10" spans="1:9" ht="12.75">
      <c r="A10" s="64">
        <v>8</v>
      </c>
      <c r="B10" s="124" t="s">
        <v>82</v>
      </c>
      <c r="C10" s="13">
        <f>SUM(C5:C9)</f>
        <v>149937</v>
      </c>
      <c r="D10" s="13">
        <f>SUM(D5:D9)</f>
        <v>40482.99</v>
      </c>
      <c r="E10" s="13">
        <f>SUM(E5:E9)</f>
        <v>190419.99000000002</v>
      </c>
      <c r="F10" s="13">
        <f>SUM(F5:F9)</f>
        <v>575</v>
      </c>
      <c r="G10" s="516">
        <f t="shared" si="0"/>
        <v>0.0038349440098174566</v>
      </c>
      <c r="H10" s="13">
        <f>SUM(H5:H9)</f>
        <v>0</v>
      </c>
      <c r="I10" s="13">
        <f>+E10+H10</f>
        <v>190419.99000000002</v>
      </c>
    </row>
    <row r="11" spans="1:9" ht="12.75">
      <c r="A11" s="64">
        <v>9</v>
      </c>
      <c r="B11" s="124" t="s">
        <v>14</v>
      </c>
      <c r="C11" s="13">
        <f>48896+11445</f>
        <v>60341</v>
      </c>
      <c r="D11" s="13">
        <f>48896*0.27+11444*0.25</f>
        <v>16062.92</v>
      </c>
      <c r="E11" s="13">
        <f>+C11+D11</f>
        <v>76403.92</v>
      </c>
      <c r="F11" s="13">
        <v>28611</v>
      </c>
      <c r="G11" s="516">
        <f t="shared" si="0"/>
        <v>0.47415521784524617</v>
      </c>
      <c r="H11" s="13">
        <v>28039</v>
      </c>
      <c r="I11" s="13">
        <f t="shared" si="1"/>
        <v>104442.92</v>
      </c>
    </row>
    <row r="12" spans="1:9" s="12" customFormat="1" ht="12.75">
      <c r="A12" s="10"/>
      <c r="B12" s="244" t="s">
        <v>21</v>
      </c>
      <c r="C12" s="73"/>
      <c r="D12" s="73"/>
      <c r="E12" s="73"/>
      <c r="F12" s="73"/>
      <c r="G12" s="517"/>
      <c r="H12" s="73"/>
      <c r="I12" s="116">
        <f t="shared" si="1"/>
        <v>0</v>
      </c>
    </row>
    <row r="13" spans="1:9" s="12" customFormat="1" ht="12.75">
      <c r="A13" s="10">
        <v>10</v>
      </c>
      <c r="B13" s="120" t="s">
        <v>1</v>
      </c>
      <c r="C13" s="11">
        <v>4500</v>
      </c>
      <c r="D13" s="11"/>
      <c r="E13" s="11">
        <f aca="true" t="shared" si="2" ref="E13:E20">+C13</f>
        <v>4500</v>
      </c>
      <c r="F13" s="11">
        <f>1710+171</f>
        <v>1881</v>
      </c>
      <c r="G13" s="138">
        <f t="shared" si="0"/>
        <v>0.418</v>
      </c>
      <c r="H13" s="11"/>
      <c r="I13" s="116">
        <f t="shared" si="1"/>
        <v>4500</v>
      </c>
    </row>
    <row r="14" spans="1:12" s="12" customFormat="1" ht="12.75" hidden="1">
      <c r="A14" s="10"/>
      <c r="B14" s="245" t="s">
        <v>201</v>
      </c>
      <c r="C14" s="11"/>
      <c r="D14" s="11"/>
      <c r="E14" s="11">
        <f t="shared" si="2"/>
        <v>0</v>
      </c>
      <c r="F14" s="11"/>
      <c r="G14" s="138" t="e">
        <f t="shared" si="0"/>
        <v>#DIV/0!</v>
      </c>
      <c r="H14" s="11"/>
      <c r="I14" s="116">
        <f t="shared" si="1"/>
        <v>0</v>
      </c>
      <c r="J14" s="273"/>
      <c r="K14" s="273"/>
      <c r="L14" s="273"/>
    </row>
    <row r="15" spans="1:12" ht="12.75">
      <c r="A15" s="10">
        <v>11</v>
      </c>
      <c r="B15" s="245" t="s">
        <v>202</v>
      </c>
      <c r="C15" s="11"/>
      <c r="D15" s="11"/>
      <c r="E15" s="11">
        <f t="shared" si="2"/>
        <v>0</v>
      </c>
      <c r="F15" s="11"/>
      <c r="G15" s="138"/>
      <c r="H15" s="11">
        <v>223439</v>
      </c>
      <c r="I15" s="116">
        <f t="shared" si="1"/>
        <v>223439</v>
      </c>
      <c r="J15" s="274"/>
      <c r="K15" s="274"/>
      <c r="L15" s="274"/>
    </row>
    <row r="16" spans="1:12" ht="12.75">
      <c r="A16" s="10">
        <v>12</v>
      </c>
      <c r="B16" s="126" t="s">
        <v>200</v>
      </c>
      <c r="C16" s="11">
        <v>77434</v>
      </c>
      <c r="D16" s="11"/>
      <c r="E16" s="11">
        <f t="shared" si="2"/>
        <v>77434</v>
      </c>
      <c r="F16" s="11">
        <v>76247</v>
      </c>
      <c r="G16" s="138">
        <f t="shared" si="0"/>
        <v>0.984670816437224</v>
      </c>
      <c r="H16" s="11">
        <v>-1187</v>
      </c>
      <c r="I16" s="116">
        <f t="shared" si="1"/>
        <v>76247</v>
      </c>
      <c r="J16" s="274"/>
      <c r="K16" s="274"/>
      <c r="L16" s="274"/>
    </row>
    <row r="17" spans="1:9" ht="12.75">
      <c r="A17" s="10">
        <v>13</v>
      </c>
      <c r="B17" s="126" t="s">
        <v>203</v>
      </c>
      <c r="C17" s="11">
        <v>43520</v>
      </c>
      <c r="D17" s="11"/>
      <c r="E17" s="11">
        <f t="shared" si="2"/>
        <v>43520</v>
      </c>
      <c r="F17" s="11">
        <v>10880</v>
      </c>
      <c r="G17" s="138">
        <f t="shared" si="0"/>
        <v>0.25</v>
      </c>
      <c r="H17" s="11">
        <v>672</v>
      </c>
      <c r="I17" s="116">
        <f t="shared" si="1"/>
        <v>44192</v>
      </c>
    </row>
    <row r="18" spans="1:9" ht="12.75" hidden="1">
      <c r="A18" s="10"/>
      <c r="B18" s="126" t="s">
        <v>204</v>
      </c>
      <c r="C18" s="11"/>
      <c r="D18" s="11"/>
      <c r="E18" s="11">
        <f t="shared" si="2"/>
        <v>0</v>
      </c>
      <c r="F18" s="11"/>
      <c r="G18" s="138" t="e">
        <f t="shared" si="0"/>
        <v>#DIV/0!</v>
      </c>
      <c r="H18" s="11"/>
      <c r="I18" s="116">
        <f t="shared" si="1"/>
        <v>0</v>
      </c>
    </row>
    <row r="19" spans="1:9" ht="12.75">
      <c r="A19" s="10">
        <v>14</v>
      </c>
      <c r="B19" s="126" t="s">
        <v>361</v>
      </c>
      <c r="C19" s="11"/>
      <c r="D19" s="11"/>
      <c r="E19" s="11"/>
      <c r="F19" s="11">
        <v>4161</v>
      </c>
      <c r="G19" s="138"/>
      <c r="H19" s="11">
        <v>4161</v>
      </c>
      <c r="I19" s="116">
        <f t="shared" si="1"/>
        <v>4161</v>
      </c>
    </row>
    <row r="20" spans="1:9" ht="12.75">
      <c r="A20" s="10">
        <v>15</v>
      </c>
      <c r="B20" s="126" t="s">
        <v>126</v>
      </c>
      <c r="C20" s="11">
        <v>1200</v>
      </c>
      <c r="D20" s="11"/>
      <c r="E20" s="11">
        <f t="shared" si="2"/>
        <v>1200</v>
      </c>
      <c r="F20" s="11"/>
      <c r="G20" s="138">
        <f t="shared" si="0"/>
        <v>0</v>
      </c>
      <c r="H20" s="11"/>
      <c r="I20" s="116">
        <f t="shared" si="1"/>
        <v>1200</v>
      </c>
    </row>
    <row r="21" spans="1:9" ht="12.75">
      <c r="A21" s="10">
        <v>16</v>
      </c>
      <c r="B21" s="126" t="s">
        <v>407</v>
      </c>
      <c r="C21" s="11"/>
      <c r="D21" s="11"/>
      <c r="E21" s="11"/>
      <c r="F21" s="11">
        <v>-27</v>
      </c>
      <c r="G21" s="138"/>
      <c r="H21" s="11"/>
      <c r="I21" s="116"/>
    </row>
    <row r="22" spans="1:9" ht="18" customHeight="1" thickBot="1">
      <c r="A22" s="65">
        <v>17</v>
      </c>
      <c r="B22" s="128" t="s">
        <v>2</v>
      </c>
      <c r="C22" s="130">
        <f>SUM(C13:C20)</f>
        <v>126654</v>
      </c>
      <c r="D22" s="130">
        <f>SUM(D13:D20)</f>
        <v>0</v>
      </c>
      <c r="E22" s="130">
        <f>SUM(E13:E20)</f>
        <v>126654</v>
      </c>
      <c r="F22" s="130">
        <f>SUM(F13:F21)</f>
        <v>93142</v>
      </c>
      <c r="G22" s="518">
        <f t="shared" si="0"/>
        <v>0.7354051194593143</v>
      </c>
      <c r="H22" s="130">
        <f>SUM(H13:H20)</f>
        <v>227085</v>
      </c>
      <c r="I22" s="130">
        <f>+E22+H22</f>
        <v>353739</v>
      </c>
    </row>
    <row r="23" spans="1:9" ht="31.5" customHeight="1" thickBot="1">
      <c r="A23" s="3"/>
      <c r="B23" s="80" t="s">
        <v>88</v>
      </c>
      <c r="C23" s="119">
        <f>C10+C22+C11</f>
        <v>336932</v>
      </c>
      <c r="D23" s="119">
        <f>D10+D22+D11</f>
        <v>56545.909999999996</v>
      </c>
      <c r="E23" s="119">
        <f>E10+E22+E11</f>
        <v>393477.91</v>
      </c>
      <c r="F23" s="119">
        <f>F10+F22+F11</f>
        <v>122328</v>
      </c>
      <c r="G23" s="519">
        <f t="shared" si="0"/>
        <v>0.36306435719967234</v>
      </c>
      <c r="H23" s="119">
        <f>H10+H22+H11</f>
        <v>255124</v>
      </c>
      <c r="I23" s="119">
        <f>+E23+H23</f>
        <v>648601.9099999999</v>
      </c>
    </row>
    <row r="24" ht="12.75">
      <c r="C24" s="63"/>
    </row>
    <row r="25" ht="12.75">
      <c r="C25" s="63"/>
    </row>
    <row r="26" ht="27" customHeight="1">
      <c r="C26" s="66"/>
    </row>
    <row r="27" ht="12.75">
      <c r="B27" s="246"/>
    </row>
    <row r="28" ht="12.75">
      <c r="B28" s="246"/>
    </row>
  </sheetData>
  <mergeCells count="1">
    <mergeCell ref="C2:E2"/>
  </mergeCells>
  <printOptions horizontalCentered="1"/>
  <pageMargins left="0.2755905511811024" right="0.1968503937007874" top="1.3779527559055118" bottom="0.5118110236220472" header="0.35433070866141736" footer="0.2755905511811024"/>
  <pageSetup fitToHeight="1" fitToWidth="1" horizontalDpi="600" verticalDpi="600" orientation="landscape" paperSize="9" scale="90" r:id="rId1"/>
  <headerFooter alignWithMargins="0">
    <oddHeader>&amp;L2.2.sz.melléklet&amp;C&amp;"Arial,Félkövér"Nagykovácsi Nagyközség Önkormányzatának
2012. évi felhalmozási bevételeinek részletezése&amp;12
&amp;Radatok e Ft-ban</oddHeader>
    <oddFooter>&amp;L&amp;D&amp;C&amp;P&amp;R&amp;F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1">
    <tabColor indexed="45"/>
    <pageSetUpPr fitToPage="1"/>
  </sheetPr>
  <dimension ref="A2:J35"/>
  <sheetViews>
    <sheetView workbookViewId="0" topLeftCell="A1">
      <selection activeCell="F36" sqref="F36"/>
    </sheetView>
  </sheetViews>
  <sheetFormatPr defaultColWidth="9.140625" defaultRowHeight="12.75"/>
  <cols>
    <col min="1" max="1" width="7.140625" style="2" customWidth="1"/>
    <col min="2" max="2" width="64.57421875" style="2" bestFit="1" customWidth="1"/>
    <col min="3" max="3" width="16.421875" style="2" customWidth="1"/>
    <col min="4" max="4" width="12.28125" style="2" bestFit="1" customWidth="1"/>
    <col min="5" max="5" width="14.421875" style="2" customWidth="1"/>
    <col min="6" max="6" width="12.28125" style="2" bestFit="1" customWidth="1"/>
    <col min="7" max="7" width="13.28125" style="2" customWidth="1"/>
    <col min="8" max="8" width="13.8515625" style="134" bestFit="1" customWidth="1"/>
    <col min="9" max="16384" width="9.140625" style="2" customWidth="1"/>
  </cols>
  <sheetData>
    <row r="1" ht="13.5" thickBot="1"/>
    <row r="2" spans="1:8" s="163" customFormat="1" ht="39" thickBot="1">
      <c r="A2" s="160"/>
      <c r="B2" s="161"/>
      <c r="C2" s="71" t="s">
        <v>135</v>
      </c>
      <c r="D2" s="71" t="s">
        <v>136</v>
      </c>
      <c r="E2" s="71" t="s">
        <v>144</v>
      </c>
      <c r="F2" s="71" t="s">
        <v>142</v>
      </c>
      <c r="G2" s="71" t="s">
        <v>143</v>
      </c>
      <c r="H2" s="162" t="s">
        <v>25</v>
      </c>
    </row>
    <row r="3" spans="1:8" ht="31.5" customHeight="1" thickBot="1">
      <c r="A3" s="67" t="s">
        <v>11</v>
      </c>
      <c r="B3" s="62" t="s">
        <v>7</v>
      </c>
      <c r="C3" s="115" t="s">
        <v>85</v>
      </c>
      <c r="D3" s="115" t="s">
        <v>85</v>
      </c>
      <c r="E3" s="115" t="s">
        <v>85</v>
      </c>
      <c r="F3" s="115" t="s">
        <v>85</v>
      </c>
      <c r="G3" s="115" t="s">
        <v>85</v>
      </c>
      <c r="H3" s="133" t="s">
        <v>26</v>
      </c>
    </row>
    <row r="4" spans="1:8" ht="12.75">
      <c r="A4" s="5"/>
      <c r="B4" s="122" t="s">
        <v>18</v>
      </c>
      <c r="C4" s="129"/>
      <c r="D4" s="129"/>
      <c r="E4" s="129"/>
      <c r="F4" s="129"/>
      <c r="G4" s="129"/>
      <c r="H4" s="135"/>
    </row>
    <row r="5" spans="1:9" ht="12.75">
      <c r="A5" s="5">
        <v>1</v>
      </c>
      <c r="B5" s="123" t="s">
        <v>19</v>
      </c>
      <c r="C5" s="116">
        <v>173107</v>
      </c>
      <c r="D5" s="116">
        <v>0</v>
      </c>
      <c r="E5" s="116">
        <f>+C5+D5</f>
        <v>173107</v>
      </c>
      <c r="F5" s="116">
        <f aca="true" t="shared" si="0" ref="F5:F11">+G5-E5</f>
        <v>0</v>
      </c>
      <c r="G5" s="116">
        <v>173107</v>
      </c>
      <c r="H5" s="136">
        <f aca="true" t="shared" si="1" ref="H5:H14">+G5/E5</f>
        <v>1</v>
      </c>
      <c r="I5" s="143"/>
    </row>
    <row r="6" spans="1:9" ht="12.75">
      <c r="A6" s="5">
        <v>2</v>
      </c>
      <c r="B6" s="123" t="s">
        <v>122</v>
      </c>
      <c r="C6" s="117">
        <f>61200</f>
        <v>61200</v>
      </c>
      <c r="D6" s="117">
        <v>0</v>
      </c>
      <c r="E6" s="116">
        <f aca="true" t="shared" si="2" ref="E6:E11">+C6+D6</f>
        <v>61200</v>
      </c>
      <c r="F6" s="117">
        <f t="shared" si="0"/>
        <v>0</v>
      </c>
      <c r="G6" s="117">
        <f>61200</f>
        <v>61200</v>
      </c>
      <c r="H6" s="136">
        <f t="shared" si="1"/>
        <v>1</v>
      </c>
      <c r="I6" s="143"/>
    </row>
    <row r="7" spans="1:9" ht="12.75">
      <c r="A7" s="5">
        <v>4</v>
      </c>
      <c r="B7" s="7" t="s">
        <v>81</v>
      </c>
      <c r="C7" s="118">
        <f>31285</f>
        <v>31285</v>
      </c>
      <c r="D7" s="118">
        <v>0</v>
      </c>
      <c r="E7" s="116">
        <f t="shared" si="2"/>
        <v>31285</v>
      </c>
      <c r="F7" s="118">
        <f t="shared" si="0"/>
        <v>0</v>
      </c>
      <c r="G7" s="118">
        <f>31285</f>
        <v>31285</v>
      </c>
      <c r="H7" s="136">
        <f t="shared" si="1"/>
        <v>1</v>
      </c>
      <c r="I7" s="143"/>
    </row>
    <row r="8" spans="1:9" ht="12.75">
      <c r="A8" s="5">
        <v>5</v>
      </c>
      <c r="B8" s="6" t="s">
        <v>20</v>
      </c>
      <c r="C8" s="116">
        <f>8000</f>
        <v>8000</v>
      </c>
      <c r="D8" s="116">
        <v>4000</v>
      </c>
      <c r="E8" s="116">
        <f t="shared" si="2"/>
        <v>12000</v>
      </c>
      <c r="F8" s="116">
        <f t="shared" si="0"/>
        <v>0</v>
      </c>
      <c r="G8" s="116">
        <f>15000*0.8</f>
        <v>12000</v>
      </c>
      <c r="H8" s="136">
        <f t="shared" si="1"/>
        <v>1</v>
      </c>
      <c r="I8" s="143"/>
    </row>
    <row r="9" spans="1:9" ht="12.75">
      <c r="A9" s="5">
        <v>6</v>
      </c>
      <c r="B9" s="75" t="s">
        <v>137</v>
      </c>
      <c r="C9" s="116"/>
      <c r="D9" s="116">
        <v>10000</v>
      </c>
      <c r="E9" s="116">
        <f t="shared" si="2"/>
        <v>10000</v>
      </c>
      <c r="F9" s="116">
        <f t="shared" si="0"/>
        <v>0</v>
      </c>
      <c r="G9" s="116">
        <f>12500*0.8</f>
        <v>10000</v>
      </c>
      <c r="H9" s="136">
        <f t="shared" si="1"/>
        <v>1</v>
      </c>
      <c r="I9" s="143"/>
    </row>
    <row r="10" spans="1:9" ht="12.75">
      <c r="A10" s="5">
        <v>7</v>
      </c>
      <c r="B10" s="148" t="s">
        <v>138</v>
      </c>
      <c r="C10" s="116"/>
      <c r="D10" s="116">
        <v>12960</v>
      </c>
      <c r="E10" s="116">
        <f t="shared" si="2"/>
        <v>12960</v>
      </c>
      <c r="F10" s="116">
        <f t="shared" si="0"/>
        <v>0</v>
      </c>
      <c r="G10" s="116">
        <f>16200*0.8</f>
        <v>12960</v>
      </c>
      <c r="H10" s="136">
        <f t="shared" si="1"/>
        <v>1</v>
      </c>
      <c r="I10" s="143"/>
    </row>
    <row r="11" spans="1:9" s="12" customFormat="1" ht="12.75">
      <c r="A11" s="10">
        <v>8</v>
      </c>
      <c r="B11" s="154" t="s">
        <v>139</v>
      </c>
      <c r="C11" s="116">
        <f>173107*0.25+61200*0.25+31285*0.25+8000*0.25</f>
        <v>68398</v>
      </c>
      <c r="D11" s="116">
        <v>6740</v>
      </c>
      <c r="E11" s="116">
        <f t="shared" si="2"/>
        <v>75138</v>
      </c>
      <c r="F11" s="116">
        <f t="shared" si="0"/>
        <v>0</v>
      </c>
      <c r="G11" s="116">
        <f>173107*0.25+61200*0.25+31285*0.25+12000*0.25+16200*0.2+12500*0.2</f>
        <v>75138</v>
      </c>
      <c r="H11" s="155">
        <f t="shared" si="1"/>
        <v>1</v>
      </c>
      <c r="I11" s="131"/>
    </row>
    <row r="12" spans="1:10" ht="12.75">
      <c r="A12" s="64">
        <v>9</v>
      </c>
      <c r="B12" s="124" t="s">
        <v>82</v>
      </c>
      <c r="C12" s="13">
        <f>SUM(C5:C11)</f>
        <v>341990</v>
      </c>
      <c r="D12" s="13">
        <f>SUM(D5:D11)</f>
        <v>33700</v>
      </c>
      <c r="E12" s="13">
        <f>SUM(E5:E11)</f>
        <v>375690</v>
      </c>
      <c r="F12" s="13">
        <f>SUM(F5:F11)</f>
        <v>0</v>
      </c>
      <c r="G12" s="13">
        <f>SUM(G5:G11)</f>
        <v>375690</v>
      </c>
      <c r="H12" s="137">
        <f t="shared" si="1"/>
        <v>1</v>
      </c>
      <c r="I12" s="143"/>
      <c r="J12" s="143"/>
    </row>
    <row r="13" spans="1:9" s="12" customFormat="1" ht="12.75">
      <c r="A13" s="65">
        <v>10</v>
      </c>
      <c r="B13" s="149" t="s">
        <v>141</v>
      </c>
      <c r="C13" s="13"/>
      <c r="D13" s="13">
        <v>45778</v>
      </c>
      <c r="E13" s="13">
        <f>+C13+D13</f>
        <v>45778</v>
      </c>
      <c r="F13" s="13">
        <f aca="true" t="shared" si="3" ref="F13:F32">+G13-E13</f>
        <v>-0.39999999999417923</v>
      </c>
      <c r="G13" s="13">
        <f>57222*0.8</f>
        <v>45777.600000000006</v>
      </c>
      <c r="H13" s="138">
        <f t="shared" si="1"/>
        <v>0.9999912621783391</v>
      </c>
      <c r="I13" s="131"/>
    </row>
    <row r="14" spans="1:9" s="12" customFormat="1" ht="12.75">
      <c r="A14" s="150"/>
      <c r="B14" s="151" t="s">
        <v>140</v>
      </c>
      <c r="C14" s="73"/>
      <c r="D14" s="73">
        <v>11444.4</v>
      </c>
      <c r="E14" s="73">
        <f>+C14+D14</f>
        <v>11444.4</v>
      </c>
      <c r="F14" s="73">
        <f t="shared" si="3"/>
        <v>0</v>
      </c>
      <c r="G14" s="73">
        <f>57222*0.2</f>
        <v>11444.400000000001</v>
      </c>
      <c r="H14" s="138">
        <f t="shared" si="1"/>
        <v>1.0000000000000002</v>
      </c>
      <c r="I14" s="131"/>
    </row>
    <row r="15" spans="1:9" s="12" customFormat="1" ht="12.75">
      <c r="A15" s="10"/>
      <c r="B15" s="121" t="s">
        <v>21</v>
      </c>
      <c r="C15" s="73"/>
      <c r="D15" s="73">
        <v>0</v>
      </c>
      <c r="E15" s="73"/>
      <c r="F15" s="73">
        <f t="shared" si="3"/>
        <v>0</v>
      </c>
      <c r="G15" s="73"/>
      <c r="H15" s="138"/>
      <c r="I15" s="143"/>
    </row>
    <row r="16" spans="1:9" s="12" customFormat="1" ht="12.75">
      <c r="A16" s="10">
        <v>11</v>
      </c>
      <c r="B16" s="120" t="s">
        <v>1</v>
      </c>
      <c r="C16" s="11">
        <v>3000</v>
      </c>
      <c r="D16" s="11">
        <v>0</v>
      </c>
      <c r="E16" s="116">
        <f>+C16+D16</f>
        <v>3000</v>
      </c>
      <c r="F16" s="11">
        <f t="shared" si="3"/>
        <v>0</v>
      </c>
      <c r="G16" s="11">
        <v>3000</v>
      </c>
      <c r="H16" s="138">
        <f aca="true" t="shared" si="4" ref="H16:H24">+G16/E16</f>
        <v>1</v>
      </c>
      <c r="I16" s="143"/>
    </row>
    <row r="17" spans="1:9" s="12" customFormat="1" ht="12.75">
      <c r="A17" s="10">
        <v>12</v>
      </c>
      <c r="B17" s="152" t="s">
        <v>123</v>
      </c>
      <c r="C17" s="11">
        <v>80000</v>
      </c>
      <c r="D17" s="11">
        <v>0</v>
      </c>
      <c r="E17" s="116">
        <f>+C17+D17</f>
        <v>80000</v>
      </c>
      <c r="F17" s="11">
        <f t="shared" si="3"/>
        <v>0</v>
      </c>
      <c r="G17" s="11">
        <v>80000</v>
      </c>
      <c r="H17" s="138">
        <f t="shared" si="4"/>
        <v>1</v>
      </c>
      <c r="I17" s="131"/>
    </row>
    <row r="18" spans="1:9" s="12" customFormat="1" ht="12.75">
      <c r="A18" s="10">
        <v>13</v>
      </c>
      <c r="B18" s="125" t="s">
        <v>124</v>
      </c>
      <c r="C18" s="11">
        <v>65057</v>
      </c>
      <c r="D18" s="11">
        <v>0</v>
      </c>
      <c r="E18" s="116">
        <f>+C18+D18</f>
        <v>65057</v>
      </c>
      <c r="F18" s="11">
        <f t="shared" si="3"/>
        <v>0</v>
      </c>
      <c r="G18" s="11">
        <v>65057</v>
      </c>
      <c r="H18" s="138">
        <f t="shared" si="4"/>
        <v>1</v>
      </c>
      <c r="I18" s="131"/>
    </row>
    <row r="19" spans="1:9" ht="12.75">
      <c r="A19" s="10">
        <v>14</v>
      </c>
      <c r="B19" s="126" t="s">
        <v>146</v>
      </c>
      <c r="C19" s="11"/>
      <c r="D19" s="11"/>
      <c r="E19" s="11"/>
      <c r="F19" s="11">
        <v>10000</v>
      </c>
      <c r="G19" s="116">
        <f>+E19+F19</f>
        <v>10000</v>
      </c>
      <c r="H19" s="136"/>
      <c r="I19" s="143"/>
    </row>
    <row r="20" spans="1:9" ht="12.75">
      <c r="A20" s="10">
        <v>15</v>
      </c>
      <c r="B20" s="126" t="s">
        <v>145</v>
      </c>
      <c r="C20" s="11"/>
      <c r="D20" s="11"/>
      <c r="E20" s="11"/>
      <c r="F20" s="11">
        <v>15000</v>
      </c>
      <c r="G20" s="116">
        <f>+E20+F20</f>
        <v>15000</v>
      </c>
      <c r="H20" s="136"/>
      <c r="I20" s="143"/>
    </row>
    <row r="21" spans="1:9" s="12" customFormat="1" ht="12.75">
      <c r="A21" s="10">
        <v>16</v>
      </c>
      <c r="B21" s="125" t="s">
        <v>125</v>
      </c>
      <c r="C21" s="11">
        <v>103245</v>
      </c>
      <c r="D21" s="11">
        <v>0</v>
      </c>
      <c r="E21" s="116">
        <f>+C21+D21</f>
        <v>103245</v>
      </c>
      <c r="F21" s="11">
        <f t="shared" si="3"/>
        <v>0</v>
      </c>
      <c r="G21" s="11">
        <v>103245</v>
      </c>
      <c r="H21" s="138">
        <f t="shared" si="4"/>
        <v>1</v>
      </c>
      <c r="I21" s="131"/>
    </row>
    <row r="22" spans="1:9" s="12" customFormat="1" ht="12.75">
      <c r="A22" s="10">
        <v>17</v>
      </c>
      <c r="B22" s="153" t="s">
        <v>126</v>
      </c>
      <c r="C22" s="11">
        <v>1200</v>
      </c>
      <c r="D22" s="11">
        <v>0</v>
      </c>
      <c r="E22" s="116">
        <f>+C22+D22</f>
        <v>1200</v>
      </c>
      <c r="F22" s="11">
        <f t="shared" si="3"/>
        <v>0</v>
      </c>
      <c r="G22" s="11">
        <v>1200</v>
      </c>
      <c r="H22" s="138">
        <f t="shared" si="4"/>
        <v>1</v>
      </c>
      <c r="I22" s="131"/>
    </row>
    <row r="23" spans="1:9" ht="12.75">
      <c r="A23" s="10">
        <v>18</v>
      </c>
      <c r="B23" s="127" t="s">
        <v>147</v>
      </c>
      <c r="C23" s="11"/>
      <c r="D23" s="11"/>
      <c r="E23" s="11"/>
      <c r="F23" s="11">
        <v>137060</v>
      </c>
      <c r="G23" s="116">
        <f>+E23+F23</f>
        <v>137060</v>
      </c>
      <c r="H23" s="136"/>
      <c r="I23" s="143"/>
    </row>
    <row r="24" spans="1:9" ht="18" customHeight="1" thickBot="1">
      <c r="A24" s="65">
        <v>19</v>
      </c>
      <c r="B24" s="128" t="s">
        <v>2</v>
      </c>
      <c r="C24" s="130">
        <f>SUM(C16:C22)</f>
        <v>252502</v>
      </c>
      <c r="D24" s="130">
        <v>0</v>
      </c>
      <c r="E24" s="130">
        <f>SUM(E16:E22)</f>
        <v>252502</v>
      </c>
      <c r="F24" s="130">
        <f>SUM(F16:F22)</f>
        <v>25000</v>
      </c>
      <c r="G24" s="130">
        <f>SUM(G16:G23)</f>
        <v>414562</v>
      </c>
      <c r="H24" s="139">
        <f t="shared" si="4"/>
        <v>1.6418166984815963</v>
      </c>
      <c r="I24" s="143"/>
    </row>
    <row r="25" spans="1:9" ht="22.5" customHeight="1" hidden="1">
      <c r="A25" s="5"/>
      <c r="B25" s="78" t="s">
        <v>22</v>
      </c>
      <c r="C25" s="73"/>
      <c r="D25" s="73">
        <f aca="true" t="shared" si="5" ref="D25:D31">+E25-C25</f>
        <v>0</v>
      </c>
      <c r="E25" s="73"/>
      <c r="F25" s="73">
        <f t="shared" si="3"/>
        <v>0</v>
      </c>
      <c r="G25" s="73"/>
      <c r="H25" s="140" t="e">
        <f aca="true" t="shared" si="6" ref="H25:H31">+E25/C25</f>
        <v>#DIV/0!</v>
      </c>
      <c r="I25" s="143"/>
    </row>
    <row r="26" spans="1:9" ht="13.5" hidden="1" thickBot="1">
      <c r="A26" s="5">
        <v>19</v>
      </c>
      <c r="B26" s="75" t="s">
        <v>78</v>
      </c>
      <c r="C26" s="73"/>
      <c r="D26" s="73">
        <f t="shared" si="5"/>
        <v>0</v>
      </c>
      <c r="E26" s="73"/>
      <c r="F26" s="73">
        <f t="shared" si="3"/>
        <v>0</v>
      </c>
      <c r="G26" s="73"/>
      <c r="H26" s="140" t="e">
        <f t="shared" si="6"/>
        <v>#DIV/0!</v>
      </c>
      <c r="I26" s="143"/>
    </row>
    <row r="27" spans="1:9" s="12" customFormat="1" ht="13.5" hidden="1" thickBot="1">
      <c r="A27" s="10">
        <v>20</v>
      </c>
      <c r="B27" s="77" t="s">
        <v>79</v>
      </c>
      <c r="C27" s="11"/>
      <c r="D27" s="11">
        <f t="shared" si="5"/>
        <v>0</v>
      </c>
      <c r="E27" s="11"/>
      <c r="F27" s="11">
        <f t="shared" si="3"/>
        <v>0</v>
      </c>
      <c r="G27" s="11"/>
      <c r="H27" s="138" t="e">
        <f t="shared" si="6"/>
        <v>#DIV/0!</v>
      </c>
      <c r="I27" s="143"/>
    </row>
    <row r="28" spans="1:9" s="12" customFormat="1" ht="13.5" hidden="1" thickBot="1">
      <c r="A28" s="10">
        <v>21</v>
      </c>
      <c r="B28" s="77" t="s">
        <v>77</v>
      </c>
      <c r="C28" s="11"/>
      <c r="D28" s="11">
        <f t="shared" si="5"/>
        <v>0</v>
      </c>
      <c r="E28" s="11"/>
      <c r="F28" s="11">
        <f t="shared" si="3"/>
        <v>0</v>
      </c>
      <c r="G28" s="11"/>
      <c r="H28" s="138" t="e">
        <f t="shared" si="6"/>
        <v>#DIV/0!</v>
      </c>
      <c r="I28" s="143"/>
    </row>
    <row r="29" spans="1:9" s="12" customFormat="1" ht="13.5" hidden="1" thickBot="1">
      <c r="A29" s="10">
        <v>22</v>
      </c>
      <c r="B29" s="77" t="s">
        <v>84</v>
      </c>
      <c r="C29" s="11"/>
      <c r="D29" s="11">
        <f t="shared" si="5"/>
        <v>0</v>
      </c>
      <c r="E29" s="11"/>
      <c r="F29" s="11">
        <f t="shared" si="3"/>
        <v>0</v>
      </c>
      <c r="G29" s="11"/>
      <c r="H29" s="138" t="e">
        <f t="shared" si="6"/>
        <v>#DIV/0!</v>
      </c>
      <c r="I29" s="143"/>
    </row>
    <row r="30" spans="1:9" ht="28.5" customHeight="1" hidden="1">
      <c r="A30" s="65">
        <v>23</v>
      </c>
      <c r="B30" s="76" t="s">
        <v>83</v>
      </c>
      <c r="C30" s="13">
        <f>SUM(C26:C29)</f>
        <v>0</v>
      </c>
      <c r="D30" s="13">
        <f t="shared" si="5"/>
        <v>0</v>
      </c>
      <c r="E30" s="13">
        <f>SUM(E26:E29)</f>
        <v>0</v>
      </c>
      <c r="F30" s="13">
        <f t="shared" si="3"/>
        <v>0</v>
      </c>
      <c r="G30" s="13">
        <f>SUM(G26:G29)</f>
        <v>0</v>
      </c>
      <c r="H30" s="137" t="e">
        <f t="shared" si="6"/>
        <v>#DIV/0!</v>
      </c>
      <c r="I30" s="143"/>
    </row>
    <row r="31" spans="1:9" s="12" customFormat="1" ht="24" customHeight="1" hidden="1" thickBot="1">
      <c r="A31" s="70">
        <v>24</v>
      </c>
      <c r="B31" s="79" t="s">
        <v>76</v>
      </c>
      <c r="C31" s="74"/>
      <c r="D31" s="74">
        <f t="shared" si="5"/>
        <v>0</v>
      </c>
      <c r="E31" s="74"/>
      <c r="F31" s="74">
        <f t="shared" si="3"/>
        <v>0</v>
      </c>
      <c r="G31" s="74"/>
      <c r="H31" s="141" t="e">
        <f t="shared" si="6"/>
        <v>#DIV/0!</v>
      </c>
      <c r="I31" s="143"/>
    </row>
    <row r="32" spans="1:9" ht="31.5" customHeight="1" thickBot="1">
      <c r="A32" s="3"/>
      <c r="B32" s="80" t="s">
        <v>88</v>
      </c>
      <c r="C32" s="119">
        <f>C12+C24+C13+C14</f>
        <v>594492</v>
      </c>
      <c r="D32" s="119">
        <f>D12+D24+D13+D14</f>
        <v>90922.4</v>
      </c>
      <c r="E32" s="119">
        <f>E12+E24+E13+E14</f>
        <v>685414.4</v>
      </c>
      <c r="F32" s="119">
        <f t="shared" si="3"/>
        <v>162059.59999999998</v>
      </c>
      <c r="G32" s="119">
        <f>G12+G24+G13+G14</f>
        <v>847474</v>
      </c>
      <c r="H32" s="142">
        <f>+G32/E32</f>
        <v>1.2364403198999028</v>
      </c>
      <c r="I32" s="143"/>
    </row>
    <row r="33" spans="3:7" ht="12.75">
      <c r="C33" s="63"/>
      <c r="D33" s="143"/>
      <c r="E33" s="143"/>
      <c r="F33" s="143"/>
      <c r="G33" s="143"/>
    </row>
    <row r="34" ht="12.75">
      <c r="C34" s="63"/>
    </row>
    <row r="35" ht="27" customHeight="1">
      <c r="C35" s="66"/>
    </row>
  </sheetData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3">
    <tabColor indexed="45"/>
    <pageSetUpPr fitToPage="1"/>
  </sheetPr>
  <dimension ref="A1:H63"/>
  <sheetViews>
    <sheetView workbookViewId="0" topLeftCell="A1">
      <selection activeCell="I22" sqref="I22"/>
    </sheetView>
  </sheetViews>
  <sheetFormatPr defaultColWidth="9.140625" defaultRowHeight="12.75"/>
  <cols>
    <col min="1" max="1" width="47.28125" style="445" bestFit="1" customWidth="1"/>
    <col min="2" max="2" width="6.421875" style="445" bestFit="1" customWidth="1"/>
    <col min="3" max="3" width="12.7109375" style="445" customWidth="1"/>
    <col min="4" max="4" width="12.421875" style="445" customWidth="1"/>
    <col min="5" max="5" width="16.57421875" style="446" bestFit="1" customWidth="1"/>
    <col min="6" max="6" width="9.8515625" style="445" customWidth="1"/>
    <col min="7" max="7" width="16.57421875" style="446" customWidth="1"/>
    <col min="8" max="9" width="9.140625" style="447" customWidth="1"/>
    <col min="10" max="13" width="9.140625" style="448" customWidth="1"/>
    <col min="14" max="14" width="9.140625" style="113" customWidth="1"/>
    <col min="15" max="16384" width="9.140625" style="445" customWidth="1"/>
  </cols>
  <sheetData>
    <row r="1" spans="1:7" s="324" customFormat="1" ht="12.75">
      <c r="A1" s="319"/>
      <c r="B1" s="320" t="s">
        <v>248</v>
      </c>
      <c r="C1" s="568" t="s">
        <v>249</v>
      </c>
      <c r="D1" s="569"/>
      <c r="E1" s="321"/>
      <c r="F1" s="322"/>
      <c r="G1" s="323"/>
    </row>
    <row r="2" spans="1:7" s="324" customFormat="1" ht="12.75">
      <c r="A2" s="325" t="s">
        <v>250</v>
      </c>
      <c r="B2" s="326"/>
      <c r="C2" s="327" t="s">
        <v>251</v>
      </c>
      <c r="D2" s="328" t="s">
        <v>252</v>
      </c>
      <c r="E2" s="329" t="s">
        <v>131</v>
      </c>
      <c r="F2" s="330" t="s">
        <v>253</v>
      </c>
      <c r="G2" s="331" t="s">
        <v>254</v>
      </c>
    </row>
    <row r="3" spans="1:7" s="324" customFormat="1" ht="12.75">
      <c r="A3" s="325"/>
      <c r="B3" s="326"/>
      <c r="C3" s="326"/>
      <c r="D3" s="332"/>
      <c r="E3" s="333"/>
      <c r="F3" s="334"/>
      <c r="G3" s="335"/>
    </row>
    <row r="4" spans="1:7" s="343" customFormat="1" ht="26.25">
      <c r="A4" s="336" t="s">
        <v>255</v>
      </c>
      <c r="B4" s="337">
        <v>6861</v>
      </c>
      <c r="C4" s="338">
        <v>4074</v>
      </c>
      <c r="D4" s="339">
        <v>27951714</v>
      </c>
      <c r="E4" s="340">
        <f>SUM(D4)</f>
        <v>27951714</v>
      </c>
      <c r="F4" s="341"/>
      <c r="G4" s="342"/>
    </row>
    <row r="5" spans="1:7" s="343" customFormat="1" ht="15">
      <c r="A5" s="344" t="s">
        <v>256</v>
      </c>
      <c r="B5" s="337"/>
      <c r="C5" s="345"/>
      <c r="D5" s="339">
        <v>4436446</v>
      </c>
      <c r="E5" s="340">
        <f>SUM(D5)</f>
        <v>4436446</v>
      </c>
      <c r="F5" s="346"/>
      <c r="G5" s="347"/>
    </row>
    <row r="6" spans="1:7" s="324" customFormat="1" ht="12.75">
      <c r="A6" s="348" t="s">
        <v>257</v>
      </c>
      <c r="B6" s="349"/>
      <c r="C6" s="350"/>
      <c r="D6" s="351"/>
      <c r="E6" s="352"/>
      <c r="F6" s="353"/>
      <c r="G6" s="354"/>
    </row>
    <row r="7" spans="1:7" s="324" customFormat="1" ht="12.75">
      <c r="A7" s="348" t="s">
        <v>258</v>
      </c>
      <c r="B7" s="349">
        <v>574</v>
      </c>
      <c r="C7" s="350">
        <v>7729</v>
      </c>
      <c r="D7" s="351">
        <v>4436446</v>
      </c>
      <c r="E7" s="352"/>
      <c r="F7" s="353"/>
      <c r="G7" s="355"/>
    </row>
    <row r="8" spans="1:7" s="343" customFormat="1" ht="15">
      <c r="A8" s="344" t="s">
        <v>259</v>
      </c>
      <c r="B8" s="337">
        <v>14</v>
      </c>
      <c r="C8" s="345">
        <v>2612</v>
      </c>
      <c r="D8" s="339">
        <v>36568</v>
      </c>
      <c r="E8" s="340">
        <f>SUM(D8)</f>
        <v>36568</v>
      </c>
      <c r="F8" s="341"/>
      <c r="G8" s="356"/>
    </row>
    <row r="9" spans="1:7" s="343" customFormat="1" ht="15">
      <c r="A9" s="357" t="s">
        <v>260</v>
      </c>
      <c r="B9" s="358"/>
      <c r="C9" s="359"/>
      <c r="D9" s="360"/>
      <c r="E9" s="361"/>
      <c r="F9" s="362"/>
      <c r="G9" s="363"/>
    </row>
    <row r="10" spans="1:7" s="343" customFormat="1" ht="15">
      <c r="A10" s="357" t="s">
        <v>261</v>
      </c>
      <c r="B10" s="358"/>
      <c r="C10" s="359"/>
      <c r="D10" s="360"/>
      <c r="E10" s="361"/>
      <c r="F10" s="362"/>
      <c r="G10" s="363"/>
    </row>
    <row r="11" spans="1:7" s="343" customFormat="1" ht="15">
      <c r="A11" s="344" t="s">
        <v>262</v>
      </c>
      <c r="B11" s="337"/>
      <c r="C11" s="337"/>
      <c r="D11" s="339">
        <v>13946831</v>
      </c>
      <c r="E11" s="340">
        <f>SUM(D11)</f>
        <v>13946831</v>
      </c>
      <c r="F11" s="341"/>
      <c r="G11" s="356"/>
    </row>
    <row r="12" spans="1:7" s="343" customFormat="1" ht="15">
      <c r="A12" s="344" t="s">
        <v>263</v>
      </c>
      <c r="B12" s="364"/>
      <c r="C12" s="337"/>
      <c r="D12" s="339">
        <f>D17</f>
        <v>608960</v>
      </c>
      <c r="E12" s="340">
        <f>SUM(D12)</f>
        <v>608960</v>
      </c>
      <c r="F12" s="346"/>
      <c r="G12" s="347"/>
    </row>
    <row r="13" spans="1:7" s="324" customFormat="1" ht="12.75">
      <c r="A13" s="348" t="s">
        <v>264</v>
      </c>
      <c r="B13" s="365"/>
      <c r="C13" s="349"/>
      <c r="D13" s="351"/>
      <c r="E13" s="352"/>
      <c r="F13" s="353"/>
      <c r="G13" s="354"/>
    </row>
    <row r="14" spans="1:7" s="324" customFormat="1" ht="12.75">
      <c r="A14" s="348" t="s">
        <v>265</v>
      </c>
      <c r="B14" s="365"/>
      <c r="C14" s="349"/>
      <c r="D14" s="351"/>
      <c r="E14" s="352"/>
      <c r="F14" s="353"/>
      <c r="G14" s="354"/>
    </row>
    <row r="15" spans="1:7" s="324" customFormat="1" ht="12.75">
      <c r="A15" s="348" t="s">
        <v>266</v>
      </c>
      <c r="B15" s="365"/>
      <c r="C15" s="349"/>
      <c r="D15" s="351"/>
      <c r="E15" s="352"/>
      <c r="F15" s="353"/>
      <c r="G15" s="354"/>
    </row>
    <row r="16" spans="1:7" s="324" customFormat="1" ht="12.75">
      <c r="A16" s="348" t="s">
        <v>267</v>
      </c>
      <c r="B16" s="365"/>
      <c r="C16" s="349"/>
      <c r="D16" s="351"/>
      <c r="E16" s="352"/>
      <c r="F16" s="353"/>
      <c r="G16" s="354"/>
    </row>
    <row r="17" spans="1:7" s="324" customFormat="1" ht="12.75">
      <c r="A17" s="348" t="s">
        <v>268</v>
      </c>
      <c r="B17" s="365">
        <v>11</v>
      </c>
      <c r="C17" s="366">
        <v>55360</v>
      </c>
      <c r="D17" s="351">
        <v>608960</v>
      </c>
      <c r="E17" s="352"/>
      <c r="F17" s="353"/>
      <c r="G17" s="354"/>
    </row>
    <row r="18" spans="1:7" s="324" customFormat="1" ht="12.75">
      <c r="A18" s="348" t="s">
        <v>269</v>
      </c>
      <c r="B18" s="365"/>
      <c r="C18" s="349"/>
      <c r="D18" s="351"/>
      <c r="E18" s="352"/>
      <c r="F18" s="353"/>
      <c r="G18" s="354"/>
    </row>
    <row r="19" spans="1:7" s="324" customFormat="1" ht="12.75">
      <c r="A19" s="348"/>
      <c r="B19" s="365"/>
      <c r="C19" s="349"/>
      <c r="D19" s="351"/>
      <c r="E19" s="352"/>
      <c r="F19" s="353"/>
      <c r="G19" s="354"/>
    </row>
    <row r="20" spans="1:7" s="324" customFormat="1" ht="12.75">
      <c r="A20" s="344" t="s">
        <v>270</v>
      </c>
      <c r="B20" s="364"/>
      <c r="C20" s="337"/>
      <c r="D20" s="339">
        <f>D22+D26+D32+D39</f>
        <v>143911600</v>
      </c>
      <c r="E20" s="340">
        <f>E22+E26+E32+E39</f>
        <v>0</v>
      </c>
      <c r="F20" s="367">
        <f>F22+F26+F32+F39</f>
        <v>75783399</v>
      </c>
      <c r="G20" s="368">
        <f>G22+G26+G32+G39</f>
        <v>68128201</v>
      </c>
    </row>
    <row r="21" spans="1:7" s="324" customFormat="1" ht="12.75">
      <c r="A21" s="344"/>
      <c r="B21" s="364"/>
      <c r="C21" s="337"/>
      <c r="D21" s="339"/>
      <c r="E21" s="340"/>
      <c r="F21" s="353"/>
      <c r="G21" s="354"/>
    </row>
    <row r="22" spans="1:7" s="343" customFormat="1" ht="15">
      <c r="A22" s="344" t="s">
        <v>271</v>
      </c>
      <c r="B22" s="364"/>
      <c r="C22" s="337"/>
      <c r="D22" s="339">
        <f>D23+D24</f>
        <v>60238334</v>
      </c>
      <c r="E22" s="340">
        <f>E23+E24</f>
        <v>0</v>
      </c>
      <c r="F22" s="367">
        <f>F23+F24</f>
        <v>0</v>
      </c>
      <c r="G22" s="368">
        <f>G23+G24</f>
        <v>60238334</v>
      </c>
    </row>
    <row r="23" spans="1:7" s="324" customFormat="1" ht="12.75">
      <c r="A23" s="348" t="s">
        <v>272</v>
      </c>
      <c r="B23" s="365" t="s">
        <v>273</v>
      </c>
      <c r="C23" s="366">
        <v>2350000</v>
      </c>
      <c r="D23" s="351">
        <v>40576667</v>
      </c>
      <c r="E23" s="352"/>
      <c r="F23" s="369"/>
      <c r="G23" s="370">
        <v>40576667</v>
      </c>
    </row>
    <row r="24" spans="1:8" s="324" customFormat="1" ht="12.75">
      <c r="A24" s="348" t="s">
        <v>274</v>
      </c>
      <c r="B24" s="365" t="s">
        <v>275</v>
      </c>
      <c r="C24" s="366">
        <v>2350000</v>
      </c>
      <c r="D24" s="351">
        <v>19661667</v>
      </c>
      <c r="E24" s="352"/>
      <c r="F24" s="371"/>
      <c r="G24" s="355">
        <f>SUM(D24:F24)</f>
        <v>19661667</v>
      </c>
      <c r="H24" s="372"/>
    </row>
    <row r="25" spans="1:7" s="375" customFormat="1" ht="12.75">
      <c r="A25" s="348"/>
      <c r="B25" s="365"/>
      <c r="C25" s="366"/>
      <c r="D25" s="351"/>
      <c r="E25" s="352"/>
      <c r="F25" s="373"/>
      <c r="G25" s="374"/>
    </row>
    <row r="26" spans="1:7" s="343" customFormat="1" ht="15">
      <c r="A26" s="344" t="s">
        <v>276</v>
      </c>
      <c r="B26" s="364"/>
      <c r="C26" s="337"/>
      <c r="D26" s="339">
        <f>D27+D28+D29+D30</f>
        <v>63058333</v>
      </c>
      <c r="E26" s="340"/>
      <c r="F26" s="376">
        <f>F27+F28+F29+F30</f>
        <v>63058333</v>
      </c>
      <c r="G26" s="377"/>
    </row>
    <row r="27" spans="1:7" s="324" customFormat="1" ht="12.75">
      <c r="A27" s="348" t="s">
        <v>277</v>
      </c>
      <c r="B27" s="349">
        <v>24.04</v>
      </c>
      <c r="C27" s="366">
        <v>2350000</v>
      </c>
      <c r="D27" s="378">
        <v>37600000</v>
      </c>
      <c r="E27" s="352"/>
      <c r="F27" s="371">
        <f>D27</f>
        <v>37600000</v>
      </c>
      <c r="G27" s="355"/>
    </row>
    <row r="28" spans="1:7" s="324" customFormat="1" ht="12.75">
      <c r="A28" s="348" t="s">
        <v>278</v>
      </c>
      <c r="B28" s="350">
        <v>26.9</v>
      </c>
      <c r="C28" s="366">
        <v>2350000</v>
      </c>
      <c r="D28" s="378">
        <v>20915000</v>
      </c>
      <c r="E28" s="352"/>
      <c r="F28" s="371">
        <f>D28</f>
        <v>20915000</v>
      </c>
      <c r="G28" s="355"/>
    </row>
    <row r="29" spans="1:7" s="324" customFormat="1" ht="12.75">
      <c r="A29" s="379" t="s">
        <v>279</v>
      </c>
      <c r="B29" s="380">
        <v>1.94</v>
      </c>
      <c r="C29" s="381">
        <v>2350000</v>
      </c>
      <c r="D29" s="378">
        <v>2976666</v>
      </c>
      <c r="E29" s="352"/>
      <c r="F29" s="371">
        <f>D29</f>
        <v>2976666</v>
      </c>
      <c r="G29" s="355"/>
    </row>
    <row r="30" spans="1:7" s="324" customFormat="1" ht="12.75">
      <c r="A30" s="379" t="s">
        <v>280</v>
      </c>
      <c r="B30" s="350">
        <v>2</v>
      </c>
      <c r="C30" s="350"/>
      <c r="D30" s="378">
        <v>1566667</v>
      </c>
      <c r="E30" s="352"/>
      <c r="F30" s="371">
        <f>D30</f>
        <v>1566667</v>
      </c>
      <c r="G30" s="354"/>
    </row>
    <row r="31" spans="1:7" s="324" customFormat="1" ht="12.75">
      <c r="A31" s="379"/>
      <c r="B31" s="350"/>
      <c r="C31" s="382"/>
      <c r="D31" s="383"/>
      <c r="E31" s="384"/>
      <c r="F31" s="371"/>
      <c r="G31" s="385"/>
    </row>
    <row r="32" spans="1:7" s="343" customFormat="1" ht="15">
      <c r="A32" s="344" t="s">
        <v>281</v>
      </c>
      <c r="B32" s="337">
        <f>SUM(B23:B30)</f>
        <v>54.879999999999995</v>
      </c>
      <c r="C32" s="337"/>
      <c r="D32" s="367">
        <f>D34+D35+D36+D37</f>
        <v>1470933</v>
      </c>
      <c r="E32" s="340">
        <f>E34+E35+E36+E37</f>
        <v>0</v>
      </c>
      <c r="F32" s="367">
        <f>F34+F35+F36+F37</f>
        <v>993066</v>
      </c>
      <c r="G32" s="386">
        <f>G34+G35+G36+G37</f>
        <v>477867</v>
      </c>
    </row>
    <row r="33" spans="1:7" s="324" customFormat="1" ht="12.75">
      <c r="A33" s="348" t="s">
        <v>282</v>
      </c>
      <c r="B33" s="387"/>
      <c r="C33" s="349"/>
      <c r="D33" s="351"/>
      <c r="E33" s="352"/>
      <c r="F33" s="353"/>
      <c r="G33" s="385"/>
    </row>
    <row r="34" spans="1:7" s="324" customFormat="1" ht="12.75">
      <c r="A34" s="379" t="s">
        <v>283</v>
      </c>
      <c r="B34" s="350"/>
      <c r="C34" s="381"/>
      <c r="D34" s="351">
        <v>358400</v>
      </c>
      <c r="E34" s="352"/>
      <c r="F34" s="353"/>
      <c r="G34" s="385">
        <f>D34</f>
        <v>358400</v>
      </c>
    </row>
    <row r="35" spans="1:7" s="324" customFormat="1" ht="12.75">
      <c r="A35" s="379" t="s">
        <v>284</v>
      </c>
      <c r="B35" s="350"/>
      <c r="C35" s="350"/>
      <c r="D35" s="351">
        <v>119467</v>
      </c>
      <c r="E35" s="352"/>
      <c r="F35" s="353"/>
      <c r="G35" s="385">
        <f>D35</f>
        <v>119467</v>
      </c>
    </row>
    <row r="36" spans="1:7" s="324" customFormat="1" ht="12.75">
      <c r="A36" s="348" t="s">
        <v>285</v>
      </c>
      <c r="B36" s="365"/>
      <c r="C36" s="349"/>
      <c r="D36" s="378">
        <v>731733</v>
      </c>
      <c r="E36" s="352"/>
      <c r="F36" s="371">
        <f>D36</f>
        <v>731733</v>
      </c>
      <c r="G36" s="385"/>
    </row>
    <row r="37" spans="1:7" s="324" customFormat="1" ht="12.75">
      <c r="A37" s="348" t="s">
        <v>286</v>
      </c>
      <c r="B37" s="365"/>
      <c r="C37" s="350"/>
      <c r="D37" s="378">
        <v>261333</v>
      </c>
      <c r="E37" s="352"/>
      <c r="F37" s="371">
        <f>D37</f>
        <v>261333</v>
      </c>
      <c r="G37" s="354"/>
    </row>
    <row r="38" spans="1:7" s="324" customFormat="1" ht="12.75">
      <c r="A38" s="379"/>
      <c r="B38" s="365"/>
      <c r="C38" s="350"/>
      <c r="D38" s="378"/>
      <c r="E38" s="352"/>
      <c r="F38" s="371"/>
      <c r="G38" s="388"/>
    </row>
    <row r="39" spans="1:7" s="343" customFormat="1" ht="15">
      <c r="A39" s="389" t="s">
        <v>287</v>
      </c>
      <c r="B39" s="345"/>
      <c r="C39" s="345"/>
      <c r="D39" s="339">
        <f>D41+D42+D45</f>
        <v>19144000</v>
      </c>
      <c r="E39" s="340">
        <f>E41+E42+E45</f>
        <v>0</v>
      </c>
      <c r="F39" s="367">
        <f>F41+F42+F45</f>
        <v>11732000</v>
      </c>
      <c r="G39" s="368">
        <f>G41+G42+G45</f>
        <v>7412000</v>
      </c>
    </row>
    <row r="40" spans="1:7" s="324" customFormat="1" ht="12.75">
      <c r="A40" s="379" t="s">
        <v>288</v>
      </c>
      <c r="B40" s="350"/>
      <c r="C40" s="350"/>
      <c r="D40" s="351"/>
      <c r="E40" s="352"/>
      <c r="F40" s="353"/>
      <c r="G40" s="388"/>
    </row>
    <row r="41" spans="1:7" s="324" customFormat="1" ht="12.75">
      <c r="A41" s="348" t="s">
        <v>289</v>
      </c>
      <c r="B41" s="349">
        <v>109</v>
      </c>
      <c r="C41" s="349">
        <v>68000</v>
      </c>
      <c r="D41" s="351">
        <f>B41*C41</f>
        <v>7412000</v>
      </c>
      <c r="E41" s="352"/>
      <c r="F41" s="353"/>
      <c r="G41" s="385">
        <f>SUM(D41:F41)</f>
        <v>7412000</v>
      </c>
    </row>
    <row r="42" spans="1:7" s="324" customFormat="1" ht="12.75">
      <c r="A42" s="379" t="s">
        <v>290</v>
      </c>
      <c r="B42" s="349">
        <v>139</v>
      </c>
      <c r="C42" s="366">
        <v>68000</v>
      </c>
      <c r="D42" s="378">
        <v>9452000</v>
      </c>
      <c r="E42" s="352"/>
      <c r="F42" s="371">
        <f>SUM(D42:E42)</f>
        <v>9452000</v>
      </c>
      <c r="G42" s="388"/>
    </row>
    <row r="43" spans="1:7" s="324" customFormat="1" ht="12.75">
      <c r="A43" s="348" t="s">
        <v>291</v>
      </c>
      <c r="B43" s="349"/>
      <c r="C43" s="349"/>
      <c r="D43" s="378"/>
      <c r="E43" s="352"/>
      <c r="F43" s="353"/>
      <c r="G43" s="388"/>
    </row>
    <row r="44" spans="1:7" s="324" customFormat="1" ht="12.75">
      <c r="A44" s="348" t="s">
        <v>292</v>
      </c>
      <c r="B44" s="349"/>
      <c r="C44" s="349"/>
      <c r="D44" s="378"/>
      <c r="E44" s="352"/>
      <c r="F44" s="353"/>
      <c r="G44" s="388"/>
    </row>
    <row r="45" spans="1:7" s="324" customFormat="1" ht="12.75">
      <c r="A45" s="379" t="s">
        <v>293</v>
      </c>
      <c r="B45" s="349">
        <v>190</v>
      </c>
      <c r="C45" s="366">
        <v>12000</v>
      </c>
      <c r="D45" s="378">
        <v>2280000</v>
      </c>
      <c r="E45" s="352"/>
      <c r="F45" s="371">
        <f>D45</f>
        <v>2280000</v>
      </c>
      <c r="G45" s="388"/>
    </row>
    <row r="46" spans="1:7" s="324" customFormat="1" ht="13.5" thickBot="1">
      <c r="A46" s="379" t="s">
        <v>294</v>
      </c>
      <c r="B46" s="349"/>
      <c r="C46" s="349"/>
      <c r="D46" s="351"/>
      <c r="E46" s="352"/>
      <c r="F46" s="353"/>
      <c r="G46" s="354"/>
    </row>
    <row r="47" spans="1:7" s="324" customFormat="1" ht="13.5" thickBot="1">
      <c r="A47" s="390" t="s">
        <v>295</v>
      </c>
      <c r="B47" s="391"/>
      <c r="C47" s="392"/>
      <c r="D47" s="393">
        <f>D4+D5+D8+D11+D12+D20</f>
        <v>190892119</v>
      </c>
      <c r="E47" s="394">
        <f>E4+E5+E8+E11+E12</f>
        <v>46980519</v>
      </c>
      <c r="F47" s="395">
        <f>F26+F32+F39</f>
        <v>75783399</v>
      </c>
      <c r="G47" s="396">
        <f>G22+G32+G39</f>
        <v>68128201</v>
      </c>
    </row>
    <row r="48" spans="1:7" s="324" customFormat="1" ht="12.75">
      <c r="A48" s="397"/>
      <c r="B48" s="358"/>
      <c r="C48" s="398"/>
      <c r="D48" s="360"/>
      <c r="E48" s="399"/>
      <c r="F48" s="353"/>
      <c r="G48" s="354"/>
    </row>
    <row r="49" spans="1:7" s="324" customFormat="1" ht="12.75">
      <c r="A49" s="344" t="s">
        <v>296</v>
      </c>
      <c r="B49" s="400"/>
      <c r="C49" s="400"/>
      <c r="D49" s="339">
        <f>D51+D52+D54+D55</f>
        <v>1498683</v>
      </c>
      <c r="E49" s="401"/>
      <c r="F49" s="402">
        <f>SUM(D49:E49)</f>
        <v>1498683</v>
      </c>
      <c r="G49" s="403">
        <v>0</v>
      </c>
    </row>
    <row r="50" spans="1:7" s="324" customFormat="1" ht="12.75">
      <c r="A50" s="379" t="s">
        <v>297</v>
      </c>
      <c r="B50" s="349"/>
      <c r="C50" s="349"/>
      <c r="D50" s="378"/>
      <c r="E50" s="352"/>
      <c r="F50" s="353"/>
      <c r="G50" s="385">
        <v>151200</v>
      </c>
    </row>
    <row r="51" spans="1:7" s="324" customFormat="1" ht="12.75">
      <c r="A51" s="379" t="s">
        <v>298</v>
      </c>
      <c r="B51" s="349"/>
      <c r="C51" s="349"/>
      <c r="D51" s="378">
        <v>369600</v>
      </c>
      <c r="E51" s="352"/>
      <c r="F51" s="371">
        <v>218400</v>
      </c>
      <c r="G51" s="354"/>
    </row>
    <row r="52" spans="1:7" s="324" customFormat="1" ht="12.75">
      <c r="A52" s="379" t="s">
        <v>299</v>
      </c>
      <c r="B52" s="349"/>
      <c r="C52" s="349"/>
      <c r="D52" s="378">
        <v>450667</v>
      </c>
      <c r="E52" s="352"/>
      <c r="F52" s="371">
        <f>D52</f>
        <v>450667</v>
      </c>
      <c r="G52" s="354"/>
    </row>
    <row r="53" spans="1:7" s="324" customFormat="1" ht="12.75">
      <c r="A53" s="379" t="s">
        <v>300</v>
      </c>
      <c r="B53" s="349"/>
      <c r="C53" s="349"/>
      <c r="D53" s="378"/>
      <c r="E53" s="352"/>
      <c r="F53" s="371">
        <f>D53</f>
        <v>0</v>
      </c>
      <c r="G53" s="354"/>
    </row>
    <row r="54" spans="1:7" s="324" customFormat="1" ht="12.75">
      <c r="A54" s="379" t="s">
        <v>301</v>
      </c>
      <c r="B54" s="349"/>
      <c r="C54" s="349"/>
      <c r="D54" s="378">
        <v>436333</v>
      </c>
      <c r="E54" s="352"/>
      <c r="F54" s="371">
        <f>SUM(D54:E54)</f>
        <v>436333</v>
      </c>
      <c r="G54" s="354"/>
    </row>
    <row r="55" spans="1:7" s="324" customFormat="1" ht="13.5" thickBot="1">
      <c r="A55" s="379" t="s">
        <v>302</v>
      </c>
      <c r="B55" s="349"/>
      <c r="C55" s="349"/>
      <c r="D55" s="351">
        <v>242083</v>
      </c>
      <c r="E55" s="352"/>
      <c r="F55" s="371">
        <f>SUM(D55:E55)</f>
        <v>242083</v>
      </c>
      <c r="G55" s="354"/>
    </row>
    <row r="56" spans="1:7" s="324" customFormat="1" ht="13.5" thickBot="1">
      <c r="A56" s="404" t="s">
        <v>303</v>
      </c>
      <c r="B56" s="405"/>
      <c r="C56" s="405"/>
      <c r="D56" s="406">
        <f>D49</f>
        <v>1498683</v>
      </c>
      <c r="E56" s="407">
        <v>0</v>
      </c>
      <c r="F56" s="408">
        <f>F51+F52+F53+F54+F55</f>
        <v>1347483</v>
      </c>
      <c r="G56" s="409">
        <f>G50</f>
        <v>151200</v>
      </c>
    </row>
    <row r="57" spans="1:7" s="324" customFormat="1" ht="13.5" thickBot="1">
      <c r="A57" s="410" t="s">
        <v>304</v>
      </c>
      <c r="B57" s="411"/>
      <c r="C57" s="411"/>
      <c r="D57" s="412">
        <f>D47+D56</f>
        <v>192390802</v>
      </c>
      <c r="E57" s="413">
        <f>E47+E56</f>
        <v>46980519</v>
      </c>
      <c r="F57" s="414">
        <f>F47+F56</f>
        <v>77130882</v>
      </c>
      <c r="G57" s="415">
        <f>G47+G56</f>
        <v>68279401</v>
      </c>
    </row>
    <row r="58" spans="1:7" s="324" customFormat="1" ht="12.75">
      <c r="A58" s="348" t="s">
        <v>305</v>
      </c>
      <c r="B58" s="358"/>
      <c r="C58" s="358"/>
      <c r="D58" s="416">
        <v>171140160</v>
      </c>
      <c r="E58" s="361">
        <f>SUM(D58)</f>
        <v>171140160</v>
      </c>
      <c r="F58" s="353"/>
      <c r="G58" s="388"/>
    </row>
    <row r="59" spans="1:7" s="324" customFormat="1" ht="12.75">
      <c r="A59" s="417" t="s">
        <v>306</v>
      </c>
      <c r="B59" s="418"/>
      <c r="C59" s="418"/>
      <c r="D59" s="419"/>
      <c r="E59" s="420"/>
      <c r="F59" s="353"/>
      <c r="G59" s="354"/>
    </row>
    <row r="60" spans="1:7" s="324" customFormat="1" ht="13.5" thickBot="1">
      <c r="A60" s="421" t="s">
        <v>307</v>
      </c>
      <c r="B60" s="422"/>
      <c r="C60" s="422"/>
      <c r="D60" s="423">
        <f>D58+D59</f>
        <v>171140160</v>
      </c>
      <c r="E60" s="424">
        <f>E58</f>
        <v>171140160</v>
      </c>
      <c r="F60" s="425"/>
      <c r="G60" s="426"/>
    </row>
    <row r="61" spans="1:8" s="324" customFormat="1" ht="15" thickBot="1">
      <c r="A61" s="427" t="s">
        <v>308</v>
      </c>
      <c r="B61" s="428"/>
      <c r="C61" s="428"/>
      <c r="D61" s="429">
        <f>D57+D60</f>
        <v>363530962</v>
      </c>
      <c r="E61" s="430">
        <f>E57+E60</f>
        <v>218120679</v>
      </c>
      <c r="F61" s="431">
        <f>F57</f>
        <v>77130882</v>
      </c>
      <c r="G61" s="432">
        <f>G57</f>
        <v>68279401</v>
      </c>
      <c r="H61" s="433"/>
    </row>
    <row r="62" spans="1:7" s="324" customFormat="1" ht="15" hidden="1">
      <c r="A62" s="434" t="s">
        <v>309</v>
      </c>
      <c r="B62" s="435"/>
      <c r="C62" s="435"/>
      <c r="D62" s="435"/>
      <c r="E62" s="436"/>
      <c r="F62" s="437"/>
      <c r="G62" s="438">
        <f>F61+G61</f>
        <v>145410283</v>
      </c>
    </row>
    <row r="63" spans="1:7" s="324" customFormat="1" ht="15.75" hidden="1" thickBot="1">
      <c r="A63" s="439" t="s">
        <v>310</v>
      </c>
      <c r="B63" s="440"/>
      <c r="C63" s="440"/>
      <c r="D63" s="441"/>
      <c r="E63" s="442"/>
      <c r="F63" s="443"/>
      <c r="G63" s="444">
        <f>E61+F61+G61</f>
        <v>363530962</v>
      </c>
    </row>
  </sheetData>
  <mergeCells count="1">
    <mergeCell ref="C1:D1"/>
  </mergeCells>
  <printOptions horizontalCentered="1"/>
  <pageMargins left="0.5905511811023623" right="0.3937007874015748" top="1.1" bottom="0.5905511811023623" header="0.58" footer="0.15748031496062992"/>
  <pageSetup fitToHeight="1" fitToWidth="1" horizontalDpi="600" verticalDpi="600" orientation="portrait" scale="80" r:id="rId1"/>
  <headerFooter alignWithMargins="0">
    <oddHeader>&amp;L3/A sz. melléklet&amp;C&amp;"Arial,Félkövér"Nagykovácsi Nagyközség Önkormányzat
 2012.évi normatív állami támogatás részletezése &amp;Radatok eFt-ban</oddHeader>
    <oddFooter>&amp;L&amp;9&amp;D&amp;C&amp;P&amp;R&amp;F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8">
    <tabColor indexed="45"/>
    <pageSetUpPr fitToPage="1"/>
  </sheetPr>
  <dimension ref="A1:BH50"/>
  <sheetViews>
    <sheetView workbookViewId="0" topLeftCell="A1">
      <pane xSplit="5" ySplit="3" topLeftCell="G1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J1" sqref="J1:AG16384"/>
    </sheetView>
  </sheetViews>
  <sheetFormatPr defaultColWidth="9.140625" defaultRowHeight="12.75"/>
  <cols>
    <col min="1" max="1" width="6.7109375" style="14" customWidth="1"/>
    <col min="2" max="2" width="48.00390625" style="14" customWidth="1"/>
    <col min="3" max="3" width="20.7109375" style="14" customWidth="1"/>
    <col min="4" max="9" width="19.140625" style="14" customWidth="1"/>
    <col min="10" max="11" width="19.140625" style="14" hidden="1" customWidth="1"/>
    <col min="12" max="12" width="11.00390625" style="14" hidden="1" customWidth="1"/>
    <col min="13" max="33" width="8.8515625" style="14" hidden="1" customWidth="1"/>
    <col min="34" max="16384" width="8.8515625" style="14" customWidth="1"/>
  </cols>
  <sheetData>
    <row r="1" spans="1:60" s="158" customFormat="1" ht="89.25">
      <c r="A1" s="156" t="s">
        <v>23</v>
      </c>
      <c r="B1" s="156" t="s">
        <v>24</v>
      </c>
      <c r="C1" s="314" t="s">
        <v>149</v>
      </c>
      <c r="D1" s="314" t="s">
        <v>323</v>
      </c>
      <c r="E1" s="314" t="s">
        <v>323</v>
      </c>
      <c r="F1" s="314" t="s">
        <v>394</v>
      </c>
      <c r="G1" s="314" t="s">
        <v>394</v>
      </c>
      <c r="H1" s="523" t="s">
        <v>396</v>
      </c>
      <c r="I1" s="523" t="s">
        <v>397</v>
      </c>
      <c r="J1" s="314" t="s">
        <v>364</v>
      </c>
      <c r="K1" s="314" t="s">
        <v>364</v>
      </c>
      <c r="L1" s="458" t="s">
        <v>329</v>
      </c>
      <c r="M1" s="164" t="s">
        <v>330</v>
      </c>
      <c r="N1" s="164" t="s">
        <v>331</v>
      </c>
      <c r="O1" s="164" t="s">
        <v>346</v>
      </c>
      <c r="P1" s="164" t="s">
        <v>332</v>
      </c>
      <c r="Q1" s="164" t="s">
        <v>333</v>
      </c>
      <c r="R1" s="164" t="s">
        <v>334</v>
      </c>
      <c r="S1" s="164" t="s">
        <v>336</v>
      </c>
      <c r="T1" s="164" t="s">
        <v>335</v>
      </c>
      <c r="U1" s="164" t="s">
        <v>347</v>
      </c>
      <c r="V1" s="164" t="s">
        <v>348</v>
      </c>
      <c r="W1" s="458" t="s">
        <v>359</v>
      </c>
      <c r="X1" s="164" t="s">
        <v>365</v>
      </c>
      <c r="Y1" s="164" t="s">
        <v>366</v>
      </c>
      <c r="Z1" s="164" t="s">
        <v>367</v>
      </c>
      <c r="AA1" s="164" t="s">
        <v>368</v>
      </c>
      <c r="AB1" s="164" t="s">
        <v>369</v>
      </c>
      <c r="AC1" s="164" t="s">
        <v>370</v>
      </c>
      <c r="AD1" s="164" t="s">
        <v>371</v>
      </c>
      <c r="AE1" s="164" t="s">
        <v>372</v>
      </c>
      <c r="AF1" s="164" t="s">
        <v>373</v>
      </c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</row>
    <row r="2" spans="1:60" ht="12.75">
      <c r="A2" s="15"/>
      <c r="B2" s="27"/>
      <c r="C2" s="17"/>
      <c r="D2" s="17"/>
      <c r="E2" s="17" t="s">
        <v>324</v>
      </c>
      <c r="F2" s="17"/>
      <c r="G2" s="17" t="s">
        <v>324</v>
      </c>
      <c r="H2" s="17"/>
      <c r="I2" s="17"/>
      <c r="J2" s="17"/>
      <c r="K2" s="17" t="s">
        <v>324</v>
      </c>
      <c r="L2" s="459"/>
      <c r="M2" s="46"/>
      <c r="N2" s="46"/>
      <c r="O2" s="46"/>
      <c r="P2" s="46"/>
      <c r="Q2" s="46"/>
      <c r="R2" s="46"/>
      <c r="S2" s="46"/>
      <c r="T2" s="46"/>
      <c r="U2" s="46"/>
      <c r="V2" s="46"/>
      <c r="W2" s="459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</row>
    <row r="3" spans="1:60" s="48" customFormat="1" ht="12.75" customHeight="1" thickBot="1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18">
        <v>7</v>
      </c>
      <c r="H3" s="18"/>
      <c r="I3" s="18"/>
      <c r="J3" s="18">
        <v>6</v>
      </c>
      <c r="K3" s="18">
        <v>7</v>
      </c>
      <c r="L3" s="460"/>
      <c r="M3" s="47"/>
      <c r="N3" s="47"/>
      <c r="O3" s="47"/>
      <c r="P3" s="47"/>
      <c r="Q3" s="47"/>
      <c r="R3" s="47"/>
      <c r="S3" s="47"/>
      <c r="T3" s="47"/>
      <c r="U3" s="47"/>
      <c r="V3" s="47"/>
      <c r="W3" s="460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</row>
    <row r="4" spans="1:23" ht="12.75">
      <c r="A4" s="49" t="s">
        <v>56</v>
      </c>
      <c r="B4" s="29" t="s">
        <v>57</v>
      </c>
      <c r="C4" s="50"/>
      <c r="D4" s="50"/>
      <c r="E4" s="50"/>
      <c r="F4" s="50"/>
      <c r="G4" s="50"/>
      <c r="H4" s="50"/>
      <c r="I4" s="526"/>
      <c r="J4" s="50"/>
      <c r="K4" s="50"/>
      <c r="L4" s="451">
        <f>SUM(M4:X4)</f>
        <v>0</v>
      </c>
      <c r="W4" s="451">
        <f>SUM(X4:AG4)</f>
        <v>0</v>
      </c>
    </row>
    <row r="5" spans="1:23" ht="12.75">
      <c r="A5" s="51" t="s">
        <v>29</v>
      </c>
      <c r="B5" s="30" t="s">
        <v>4</v>
      </c>
      <c r="C5" s="169">
        <f>SUM(C6:C8)</f>
        <v>12560</v>
      </c>
      <c r="D5" s="169">
        <f>SUM(D6:D8)</f>
        <v>0</v>
      </c>
      <c r="E5" s="169">
        <f>+C5+D5</f>
        <v>12560</v>
      </c>
      <c r="F5" s="169">
        <f>SUM(F6:F8)</f>
        <v>270</v>
      </c>
      <c r="G5" s="169">
        <f>+E5+F5</f>
        <v>12830</v>
      </c>
      <c r="H5" s="169">
        <f>SUM(H6:H8)</f>
        <v>5006</v>
      </c>
      <c r="I5" s="527">
        <f>+H5/G5</f>
        <v>0.3901792673421668</v>
      </c>
      <c r="J5" s="169">
        <f>SUM(J6:J8)</f>
        <v>-1310</v>
      </c>
      <c r="K5" s="169">
        <f>+G5+J5</f>
        <v>11520</v>
      </c>
      <c r="L5" s="451">
        <f aca="true" t="shared" si="0" ref="L5:L42">SUM(M5:X5)</f>
        <v>0</v>
      </c>
      <c r="W5" s="451">
        <f aca="true" t="shared" si="1" ref="W5:W42">SUM(X5:AG5)</f>
        <v>0</v>
      </c>
    </row>
    <row r="6" spans="1:24" ht="12.75">
      <c r="A6" s="51"/>
      <c r="B6" s="175" t="s">
        <v>58</v>
      </c>
      <c r="C6" s="170">
        <f>+'[2]2.sz. Szakfeladat összesítő'!$AK$37+'[2]2.sz. Szakfeladat összesítő'!$AK$41+'[2]2.sz. Szakfeladat összesítő'!$AK$42+'[2]2.sz. Szakfeladat összesítő'!$AK$49</f>
        <v>11169</v>
      </c>
      <c r="D6" s="170"/>
      <c r="E6" s="170">
        <f aca="true" t="shared" si="2" ref="E6:E45">+C6+D6</f>
        <v>11169</v>
      </c>
      <c r="F6" s="170"/>
      <c r="G6" s="170">
        <f aca="true" t="shared" si="3" ref="G6:G42">+E6+F6</f>
        <v>11169</v>
      </c>
      <c r="H6" s="170">
        <v>3832</v>
      </c>
      <c r="I6" s="528">
        <f aca="true" t="shared" si="4" ref="I6:I45">+H6/G6</f>
        <v>0.34309248813680726</v>
      </c>
      <c r="J6" s="170">
        <v>-1812</v>
      </c>
      <c r="K6" s="170">
        <f aca="true" t="shared" si="5" ref="K6:K45">+G6+J6</f>
        <v>9357</v>
      </c>
      <c r="L6" s="451">
        <f t="shared" si="0"/>
        <v>-3624</v>
      </c>
      <c r="W6" s="451">
        <f t="shared" si="1"/>
        <v>-1812</v>
      </c>
      <c r="X6" s="14">
        <v>-1812</v>
      </c>
    </row>
    <row r="7" spans="1:29" ht="12.75">
      <c r="A7" s="51"/>
      <c r="B7" s="175" t="s">
        <v>59</v>
      </c>
      <c r="C7" s="170">
        <f>+'[2]2.sz. Szakfeladat összesítő'!$AK$50+'[2]2.sz. Szakfeladat összesítő'!$AK$75+'[2]2.sz. Szakfeladat összesítő'!$AK$92</f>
        <v>1391</v>
      </c>
      <c r="D7" s="170"/>
      <c r="E7" s="170">
        <f t="shared" si="2"/>
        <v>1391</v>
      </c>
      <c r="F7" s="469">
        <v>270</v>
      </c>
      <c r="G7" s="170">
        <f t="shared" si="3"/>
        <v>1661</v>
      </c>
      <c r="H7" s="170">
        <v>1174</v>
      </c>
      <c r="I7" s="528">
        <f t="shared" si="4"/>
        <v>0.7068031306441902</v>
      </c>
      <c r="J7" s="469"/>
      <c r="K7" s="469">
        <f t="shared" si="5"/>
        <v>1661</v>
      </c>
      <c r="L7" s="451">
        <f t="shared" si="0"/>
        <v>268</v>
      </c>
      <c r="W7" s="451">
        <f t="shared" si="1"/>
        <v>268</v>
      </c>
      <c r="AC7" s="14">
        <v>268</v>
      </c>
    </row>
    <row r="8" spans="1:28" ht="12.75">
      <c r="A8" s="51"/>
      <c r="B8" s="176" t="s">
        <v>60</v>
      </c>
      <c r="C8" s="170">
        <f>+'[2]2.sz. Szakfeladat összesítő'!$AK$147</f>
        <v>0</v>
      </c>
      <c r="D8" s="170">
        <f>+'[2]2.sz. Szakfeladat összesítő'!$AK$147</f>
        <v>0</v>
      </c>
      <c r="E8" s="170">
        <f t="shared" si="2"/>
        <v>0</v>
      </c>
      <c r="F8" s="170"/>
      <c r="G8" s="170">
        <f t="shared" si="3"/>
        <v>0</v>
      </c>
      <c r="H8" s="170">
        <f>+'[2]2.sz. Szakfeladat összesítő'!$AK$147</f>
        <v>0</v>
      </c>
      <c r="I8" s="528"/>
      <c r="J8" s="170">
        <v>502</v>
      </c>
      <c r="K8" s="170">
        <f t="shared" si="5"/>
        <v>502</v>
      </c>
      <c r="L8" s="451">
        <f t="shared" si="0"/>
        <v>502</v>
      </c>
      <c r="W8" s="451">
        <f t="shared" si="1"/>
        <v>502</v>
      </c>
      <c r="AB8" s="14">
        <v>502</v>
      </c>
    </row>
    <row r="9" spans="1:29" ht="12.75">
      <c r="A9" s="15" t="s">
        <v>32</v>
      </c>
      <c r="B9" s="30" t="s">
        <v>178</v>
      </c>
      <c r="C9" s="169">
        <f>+'[2]2.sz. Szakfeladat összesítő'!$AK$151</f>
        <v>3476.6962143709097</v>
      </c>
      <c r="D9" s="169"/>
      <c r="E9" s="169">
        <f t="shared" si="2"/>
        <v>3476.6962143709097</v>
      </c>
      <c r="F9" s="470">
        <v>73</v>
      </c>
      <c r="G9" s="169">
        <f t="shared" si="3"/>
        <v>3549.6962143709097</v>
      </c>
      <c r="H9" s="169">
        <v>1311</v>
      </c>
      <c r="I9" s="527">
        <f t="shared" si="4"/>
        <v>0.36932737925359066</v>
      </c>
      <c r="J9" s="470">
        <f>-273-72</f>
        <v>-345</v>
      </c>
      <c r="K9" s="470">
        <f t="shared" si="5"/>
        <v>3204.6962143709097</v>
      </c>
      <c r="L9" s="451">
        <f t="shared" si="0"/>
        <v>-754</v>
      </c>
      <c r="W9" s="451">
        <f t="shared" si="1"/>
        <v>-273</v>
      </c>
      <c r="X9" s="14">
        <v>-481</v>
      </c>
      <c r="AB9" s="14">
        <v>136</v>
      </c>
      <c r="AC9" s="14">
        <v>72</v>
      </c>
    </row>
    <row r="10" spans="1:23" ht="12.75">
      <c r="A10" s="51" t="s">
        <v>35</v>
      </c>
      <c r="B10" s="177" t="s">
        <v>61</v>
      </c>
      <c r="C10" s="169">
        <f>+'[2]2.sz. Szakfeladat összesítő'!$AK$160+1+0.1</f>
        <v>99483.02973000729</v>
      </c>
      <c r="D10" s="169">
        <f>SUM(D11:D16)</f>
        <v>55026</v>
      </c>
      <c r="E10" s="169">
        <f t="shared" si="2"/>
        <v>154509.02973000729</v>
      </c>
      <c r="F10" s="169"/>
      <c r="G10" s="169">
        <f t="shared" si="3"/>
        <v>154509.02973000729</v>
      </c>
      <c r="H10" s="169">
        <f>SUM(H11:H16)</f>
        <v>90011</v>
      </c>
      <c r="I10" s="527">
        <f t="shared" si="4"/>
        <v>0.5825614215381932</v>
      </c>
      <c r="J10" s="169">
        <f>SUM(J11:J16)</f>
        <v>9286</v>
      </c>
      <c r="K10" s="169">
        <f t="shared" si="5"/>
        <v>163795.02973000729</v>
      </c>
      <c r="L10" s="451">
        <f t="shared" si="0"/>
        <v>0</v>
      </c>
      <c r="T10" s="451"/>
      <c r="W10" s="451">
        <f t="shared" si="1"/>
        <v>0</v>
      </c>
    </row>
    <row r="11" spans="1:23" ht="12.75">
      <c r="A11" s="51" t="s">
        <v>172</v>
      </c>
      <c r="B11" s="176" t="s">
        <v>120</v>
      </c>
      <c r="C11" s="170">
        <f>+'[2]2.sz. Szakfeladat összesítő'!$AK$199+'[2]2.sz. Szakfeladat összesítő'!$AK$207+'[2]2.sz. Szakfeladat összesítő'!$AK$215</f>
        <v>11091.741999999998</v>
      </c>
      <c r="D11" s="170"/>
      <c r="E11" s="170">
        <f t="shared" si="2"/>
        <v>11091.741999999998</v>
      </c>
      <c r="F11" s="170"/>
      <c r="G11" s="170">
        <f t="shared" si="3"/>
        <v>11091.741999999998</v>
      </c>
      <c r="H11" s="170">
        <v>7450</v>
      </c>
      <c r="I11" s="528">
        <f t="shared" si="4"/>
        <v>0.6716708700941656</v>
      </c>
      <c r="J11" s="170"/>
      <c r="K11" s="170">
        <f t="shared" si="5"/>
        <v>11091.741999999998</v>
      </c>
      <c r="L11" s="451">
        <f t="shared" si="0"/>
        <v>0</v>
      </c>
      <c r="W11" s="451">
        <f t="shared" si="1"/>
        <v>0</v>
      </c>
    </row>
    <row r="12" spans="1:23" ht="12.75">
      <c r="A12" s="51" t="s">
        <v>173</v>
      </c>
      <c r="B12" s="176" t="s">
        <v>113</v>
      </c>
      <c r="C12" s="170">
        <v>0</v>
      </c>
      <c r="D12" s="170"/>
      <c r="E12" s="170">
        <f t="shared" si="2"/>
        <v>0</v>
      </c>
      <c r="F12" s="170"/>
      <c r="G12" s="170">
        <f t="shared" si="3"/>
        <v>0</v>
      </c>
      <c r="H12" s="170"/>
      <c r="I12" s="528"/>
      <c r="J12" s="170"/>
      <c r="K12" s="170">
        <f t="shared" si="5"/>
        <v>0</v>
      </c>
      <c r="L12" s="451">
        <f t="shared" si="0"/>
        <v>0</v>
      </c>
      <c r="W12" s="451">
        <f t="shared" si="1"/>
        <v>0</v>
      </c>
    </row>
    <row r="13" spans="1:23" ht="12.75">
      <c r="A13" s="51" t="s">
        <v>174</v>
      </c>
      <c r="B13" s="176" t="s">
        <v>121</v>
      </c>
      <c r="C13" s="170">
        <v>0</v>
      </c>
      <c r="D13" s="170">
        <v>30000</v>
      </c>
      <c r="E13" s="170">
        <f t="shared" si="2"/>
        <v>30000</v>
      </c>
      <c r="F13" s="170"/>
      <c r="G13" s="170">
        <f t="shared" si="3"/>
        <v>30000</v>
      </c>
      <c r="H13" s="170">
        <v>13777</v>
      </c>
      <c r="I13" s="528">
        <f t="shared" si="4"/>
        <v>0.4592333333333333</v>
      </c>
      <c r="J13" s="170"/>
      <c r="K13" s="170">
        <f t="shared" si="5"/>
        <v>30000</v>
      </c>
      <c r="L13" s="451">
        <f t="shared" si="0"/>
        <v>30000</v>
      </c>
      <c r="O13" s="14">
        <v>30000</v>
      </c>
      <c r="W13" s="451">
        <f t="shared" si="1"/>
        <v>0</v>
      </c>
    </row>
    <row r="14" spans="1:31" ht="12.75">
      <c r="A14" s="51" t="s">
        <v>175</v>
      </c>
      <c r="B14" s="176" t="s">
        <v>114</v>
      </c>
      <c r="C14" s="170">
        <f>+'[2]2.sz. Szakfeladat összesítő'!$AK$245</f>
        <v>12447.0771309091</v>
      </c>
      <c r="D14" s="170">
        <v>3951</v>
      </c>
      <c r="E14" s="170">
        <f t="shared" si="2"/>
        <v>16398.0771309091</v>
      </c>
      <c r="F14" s="170">
        <v>1974</v>
      </c>
      <c r="G14" s="170">
        <f t="shared" si="3"/>
        <v>18372.0771309091</v>
      </c>
      <c r="H14" s="170">
        <v>11647</v>
      </c>
      <c r="I14" s="528">
        <f t="shared" si="4"/>
        <v>0.6339511812959429</v>
      </c>
      <c r="J14" s="170">
        <v>1974</v>
      </c>
      <c r="K14" s="170">
        <f t="shared" si="5"/>
        <v>20346.0771309091</v>
      </c>
      <c r="L14" s="451">
        <f t="shared" si="0"/>
        <v>6083</v>
      </c>
      <c r="M14" s="14">
        <f>106+128</f>
        <v>234</v>
      </c>
      <c r="N14" s="14">
        <v>3447</v>
      </c>
      <c r="P14" s="14">
        <v>270</v>
      </c>
      <c r="W14" s="451">
        <f t="shared" si="1"/>
        <v>1974</v>
      </c>
      <c r="X14" s="14">
        <f>48+110</f>
        <v>158</v>
      </c>
      <c r="AE14" s="14">
        <v>1816</v>
      </c>
    </row>
    <row r="15" spans="1:23" ht="12.75">
      <c r="A15" s="51" t="s">
        <v>176</v>
      </c>
      <c r="B15" s="176" t="s">
        <v>115</v>
      </c>
      <c r="C15" s="170">
        <f>+'[2]2.sz. Szakfeladat összesítő'!$AK$247+'[2]2.sz. Szakfeladat összesítő'!$AK$249</f>
        <v>40482.990000000005</v>
      </c>
      <c r="D15" s="170">
        <v>669</v>
      </c>
      <c r="E15" s="170">
        <f t="shared" si="2"/>
        <v>41151.990000000005</v>
      </c>
      <c r="F15" s="170"/>
      <c r="G15" s="170">
        <f t="shared" si="3"/>
        <v>41151.990000000005</v>
      </c>
      <c r="H15" s="170">
        <v>17460</v>
      </c>
      <c r="I15" s="528">
        <f t="shared" si="4"/>
        <v>0.42428081849747723</v>
      </c>
      <c r="J15" s="170"/>
      <c r="K15" s="170">
        <f t="shared" si="5"/>
        <v>41151.990000000005</v>
      </c>
      <c r="L15" s="451">
        <f t="shared" si="0"/>
        <v>669</v>
      </c>
      <c r="T15" s="456">
        <v>669</v>
      </c>
      <c r="W15" s="451">
        <f t="shared" si="1"/>
        <v>0</v>
      </c>
    </row>
    <row r="16" spans="1:31" ht="12.75">
      <c r="A16" s="51" t="s">
        <v>177</v>
      </c>
      <c r="B16" s="176" t="s">
        <v>116</v>
      </c>
      <c r="C16" s="170">
        <f>+C10-C11-C12-C13-C14-C15</f>
        <v>35461.220599098175</v>
      </c>
      <c r="D16" s="170">
        <v>20406</v>
      </c>
      <c r="E16" s="170">
        <f t="shared" si="2"/>
        <v>55867.220599098175</v>
      </c>
      <c r="F16" s="170">
        <v>7312</v>
      </c>
      <c r="G16" s="170">
        <f t="shared" si="3"/>
        <v>63179.220599098175</v>
      </c>
      <c r="H16" s="170">
        <f>90011-H11-H13-H14-H15</f>
        <v>39677</v>
      </c>
      <c r="I16" s="528">
        <f t="shared" si="4"/>
        <v>0.6280071141074879</v>
      </c>
      <c r="J16" s="170">
        <v>7312</v>
      </c>
      <c r="K16" s="170">
        <f t="shared" si="5"/>
        <v>70491.22059909817</v>
      </c>
      <c r="L16" s="451">
        <f t="shared" si="0"/>
        <v>28304</v>
      </c>
      <c r="M16" s="14">
        <f>394+472</f>
        <v>866</v>
      </c>
      <c r="N16" s="14">
        <v>12768</v>
      </c>
      <c r="O16" s="14">
        <f>238+450+160+1245</f>
        <v>2093</v>
      </c>
      <c r="P16" s="14">
        <v>1000</v>
      </c>
      <c r="Q16" s="14">
        <v>1000</v>
      </c>
      <c r="T16" s="456">
        <v>2679</v>
      </c>
      <c r="W16" s="451">
        <f t="shared" si="1"/>
        <v>7312</v>
      </c>
      <c r="X16" s="14">
        <f>178+408</f>
        <v>586</v>
      </c>
      <c r="AE16" s="14">
        <v>6726</v>
      </c>
    </row>
    <row r="17" spans="1:23" ht="12.75">
      <c r="A17" s="51" t="s">
        <v>37</v>
      </c>
      <c r="B17" s="177" t="s">
        <v>62</v>
      </c>
      <c r="C17" s="169">
        <f>+'[2]2.sz. Szakfeladat összesítő'!$AK$281</f>
        <v>9786</v>
      </c>
      <c r="D17" s="169">
        <f>1615+120</f>
        <v>1735</v>
      </c>
      <c r="E17" s="169">
        <f t="shared" si="2"/>
        <v>11521</v>
      </c>
      <c r="F17" s="169"/>
      <c r="G17" s="169">
        <f t="shared" si="3"/>
        <v>11521</v>
      </c>
      <c r="H17" s="169">
        <v>4361</v>
      </c>
      <c r="I17" s="527">
        <f t="shared" si="4"/>
        <v>0.378526169603333</v>
      </c>
      <c r="J17" s="169"/>
      <c r="K17" s="169">
        <f t="shared" si="5"/>
        <v>11521</v>
      </c>
      <c r="L17" s="451">
        <f t="shared" si="0"/>
        <v>1735</v>
      </c>
      <c r="S17" s="14">
        <v>120</v>
      </c>
      <c r="T17" s="456">
        <v>1615</v>
      </c>
      <c r="W17" s="451">
        <f t="shared" si="1"/>
        <v>0</v>
      </c>
    </row>
    <row r="18" spans="1:23" ht="12.75">
      <c r="A18" s="51" t="s">
        <v>40</v>
      </c>
      <c r="B18" s="177" t="s">
        <v>63</v>
      </c>
      <c r="C18" s="169">
        <f>SUM(C19:C21)</f>
        <v>659512</v>
      </c>
      <c r="D18" s="169">
        <f>SUM(D19:D21)</f>
        <v>-16704</v>
      </c>
      <c r="E18" s="169">
        <f t="shared" si="2"/>
        <v>642808</v>
      </c>
      <c r="F18" s="169">
        <f>SUM(F19:F21)</f>
        <v>59422</v>
      </c>
      <c r="G18" s="169">
        <f t="shared" si="3"/>
        <v>702230</v>
      </c>
      <c r="H18" s="169">
        <f>SUM(H19:H21)</f>
        <v>267722</v>
      </c>
      <c r="I18" s="527">
        <f t="shared" si="4"/>
        <v>0.38124546088888256</v>
      </c>
      <c r="J18" s="169">
        <f>SUM(J19:J21)</f>
        <v>-3749</v>
      </c>
      <c r="K18" s="169">
        <f t="shared" si="5"/>
        <v>698481</v>
      </c>
      <c r="L18" s="451">
        <f t="shared" si="0"/>
        <v>0</v>
      </c>
      <c r="T18" s="456"/>
      <c r="W18" s="451">
        <f t="shared" si="1"/>
        <v>0</v>
      </c>
    </row>
    <row r="19" spans="1:31" s="237" customFormat="1" ht="12.75">
      <c r="A19" s="235">
        <v>51</v>
      </c>
      <c r="B19" s="236" t="s">
        <v>157</v>
      </c>
      <c r="C19" s="452">
        <f>+'1A. melléklet_BEVÉTEL_KIADÁS'!D30</f>
        <v>637684</v>
      </c>
      <c r="D19" s="452">
        <f>3047+600-500-30000+4607+23+208+427+3000+130</f>
        <v>-18458</v>
      </c>
      <c r="E19" s="452">
        <f t="shared" si="2"/>
        <v>619226</v>
      </c>
      <c r="F19" s="452">
        <v>8753</v>
      </c>
      <c r="G19" s="452">
        <f t="shared" si="3"/>
        <v>627979</v>
      </c>
      <c r="H19" s="452">
        <v>259295</v>
      </c>
      <c r="I19" s="529">
        <f t="shared" si="4"/>
        <v>0.412903934685714</v>
      </c>
      <c r="J19" s="452">
        <v>-14376</v>
      </c>
      <c r="K19" s="452">
        <f t="shared" si="5"/>
        <v>613603</v>
      </c>
      <c r="L19" s="451">
        <f t="shared" si="0"/>
        <v>-35504</v>
      </c>
      <c r="M19" s="237">
        <v>-500</v>
      </c>
      <c r="O19" s="237">
        <f>-30000</f>
        <v>-30000</v>
      </c>
      <c r="R19" s="237">
        <f>600+427</f>
        <v>1027</v>
      </c>
      <c r="T19" s="457"/>
      <c r="U19" s="457">
        <f>4607+208+23</f>
        <v>4838</v>
      </c>
      <c r="V19" s="237">
        <f>3047+130+3000</f>
        <v>6177</v>
      </c>
      <c r="W19" s="451">
        <f t="shared" si="1"/>
        <v>-6965</v>
      </c>
      <c r="X19" s="237">
        <f>-4373-5297-411</f>
        <v>-10081</v>
      </c>
      <c r="Y19" s="237">
        <v>1837</v>
      </c>
      <c r="AC19" s="237">
        <f>758+2143+2554+187</f>
        <v>5642</v>
      </c>
      <c r="AD19" s="237">
        <f>1769+810+1600</f>
        <v>4179</v>
      </c>
      <c r="AE19" s="237">
        <v>-8542</v>
      </c>
    </row>
    <row r="20" spans="1:23" s="237" customFormat="1" ht="12.75">
      <c r="A20" s="235">
        <v>52</v>
      </c>
      <c r="B20" s="236" t="s">
        <v>184</v>
      </c>
      <c r="C20" s="166"/>
      <c r="D20" s="166"/>
      <c r="E20" s="166">
        <f t="shared" si="2"/>
        <v>0</v>
      </c>
      <c r="F20" s="166"/>
      <c r="G20" s="166">
        <f t="shared" si="3"/>
        <v>0</v>
      </c>
      <c r="H20" s="166"/>
      <c r="I20" s="530"/>
      <c r="J20" s="166"/>
      <c r="K20" s="166">
        <f t="shared" si="5"/>
        <v>0</v>
      </c>
      <c r="L20" s="451">
        <f t="shared" si="0"/>
        <v>0</v>
      </c>
      <c r="T20" s="457"/>
      <c r="W20" s="451">
        <f t="shared" si="1"/>
        <v>0</v>
      </c>
    </row>
    <row r="21" spans="1:30" s="237" customFormat="1" ht="12.75">
      <c r="A21" s="235">
        <v>53</v>
      </c>
      <c r="B21" s="236" t="s">
        <v>185</v>
      </c>
      <c r="C21" s="166">
        <f>+'[2]2.sz. Szakfeladat összesítő'!$AK$23+'[2]2.sz. Szakfeladat összesítő'!$AK$27</f>
        <v>21828</v>
      </c>
      <c r="D21" s="166">
        <f>254+1500</f>
        <v>1754</v>
      </c>
      <c r="E21" s="166">
        <f t="shared" si="2"/>
        <v>23582</v>
      </c>
      <c r="F21" s="468">
        <v>50669</v>
      </c>
      <c r="G21" s="166">
        <f t="shared" si="3"/>
        <v>74251</v>
      </c>
      <c r="H21" s="166">
        <f>8395+32</f>
        <v>8427</v>
      </c>
      <c r="I21" s="530">
        <f t="shared" si="4"/>
        <v>0.11349342096402742</v>
      </c>
      <c r="J21" s="468">
        <f>61296-50669</f>
        <v>10627</v>
      </c>
      <c r="K21" s="468">
        <f t="shared" si="5"/>
        <v>84878</v>
      </c>
      <c r="L21" s="451">
        <f t="shared" si="0"/>
        <v>73050</v>
      </c>
      <c r="S21" s="237">
        <v>254</v>
      </c>
      <c r="T21" s="457"/>
      <c r="V21" s="237">
        <f>1500</f>
        <v>1500</v>
      </c>
      <c r="W21" s="451">
        <f t="shared" si="1"/>
        <v>61296</v>
      </c>
      <c r="X21" s="237">
        <v>10000</v>
      </c>
      <c r="AB21" s="237">
        <f>500-145+127+120+25</f>
        <v>627</v>
      </c>
      <c r="AD21" s="237">
        <v>50669</v>
      </c>
    </row>
    <row r="22" spans="1:32" ht="12.75">
      <c r="A22" s="51" t="s">
        <v>43</v>
      </c>
      <c r="B22" s="30" t="s">
        <v>10</v>
      </c>
      <c r="C22" s="169">
        <f>+'[2]2.sz. Szakfeladat összesítő'!$AK$301</f>
        <v>4500</v>
      </c>
      <c r="D22" s="169">
        <f>14789-12895-1500-1000-427-120-160-600</f>
        <v>-1913</v>
      </c>
      <c r="E22" s="169">
        <f t="shared" si="2"/>
        <v>2587</v>
      </c>
      <c r="F22" s="169">
        <v>584</v>
      </c>
      <c r="G22" s="169">
        <f t="shared" si="3"/>
        <v>3171</v>
      </c>
      <c r="H22" s="169"/>
      <c r="I22" s="527">
        <f t="shared" si="4"/>
        <v>0</v>
      </c>
      <c r="J22" s="169">
        <v>3454</v>
      </c>
      <c r="K22" s="169">
        <f t="shared" si="5"/>
        <v>6625</v>
      </c>
      <c r="L22" s="451">
        <f t="shared" si="0"/>
        <v>2695</v>
      </c>
      <c r="M22" s="14">
        <v>-600</v>
      </c>
      <c r="O22" s="14">
        <v>-160</v>
      </c>
      <c r="Q22" s="14">
        <v>-1000</v>
      </c>
      <c r="R22" s="14">
        <v>-427</v>
      </c>
      <c r="S22" s="14">
        <v>-120</v>
      </c>
      <c r="T22" s="456">
        <f>14789-12895</f>
        <v>1894</v>
      </c>
      <c r="V22" s="14">
        <v>-1500</v>
      </c>
      <c r="W22" s="451">
        <f t="shared" si="1"/>
        <v>3454</v>
      </c>
      <c r="X22" s="14">
        <f>12374-10000-1220</f>
        <v>1154</v>
      </c>
      <c r="Y22" s="14">
        <f>-2866+1029</f>
        <v>-1837</v>
      </c>
      <c r="Z22" s="14">
        <v>-3268</v>
      </c>
      <c r="AA22" s="14">
        <v>-16971</v>
      </c>
      <c r="AB22" s="14">
        <v>-127</v>
      </c>
      <c r="AD22" s="14">
        <f>-1600-810-1187</f>
        <v>-3597</v>
      </c>
      <c r="AF22" s="14">
        <v>28100</v>
      </c>
    </row>
    <row r="23" spans="1:28" ht="13.5" thickBot="1">
      <c r="A23" s="51" t="s">
        <v>44</v>
      </c>
      <c r="B23" s="27" t="s">
        <v>186</v>
      </c>
      <c r="C23" s="169">
        <f>+'[2]2.sz. Szakfeladat összesítő'!$AK$302</f>
        <v>32410</v>
      </c>
      <c r="D23" s="169">
        <f>-6215-600-2000-238-254-450-2500-1245-1000-130-3000</f>
        <v>-17632</v>
      </c>
      <c r="E23" s="169">
        <f t="shared" si="2"/>
        <v>14778</v>
      </c>
      <c r="F23" s="169"/>
      <c r="G23" s="169">
        <f t="shared" si="3"/>
        <v>14778</v>
      </c>
      <c r="H23" s="169"/>
      <c r="I23" s="527">
        <f t="shared" si="4"/>
        <v>0</v>
      </c>
      <c r="J23" s="169">
        <v>-1138</v>
      </c>
      <c r="K23" s="169">
        <f t="shared" si="5"/>
        <v>13640</v>
      </c>
      <c r="L23" s="451">
        <f t="shared" si="0"/>
        <v>-18770</v>
      </c>
      <c r="N23" s="14">
        <v>-6215</v>
      </c>
      <c r="O23" s="14">
        <f>-238-450-1245</f>
        <v>-1933</v>
      </c>
      <c r="R23" s="14">
        <f>-2000-1000-2500-600</f>
        <v>-6100</v>
      </c>
      <c r="S23" s="14">
        <f>-254</f>
        <v>-254</v>
      </c>
      <c r="T23" s="456"/>
      <c r="V23" s="14">
        <f>-130-3000</f>
        <v>-3130</v>
      </c>
      <c r="W23" s="451">
        <f t="shared" si="1"/>
        <v>-1138</v>
      </c>
      <c r="AB23" s="14">
        <f>-500-638</f>
        <v>-1138</v>
      </c>
    </row>
    <row r="24" spans="1:23" ht="13.5" thickBot="1">
      <c r="A24" s="54" t="s">
        <v>27</v>
      </c>
      <c r="B24" s="178" t="s">
        <v>91</v>
      </c>
      <c r="C24" s="233">
        <f>SUM(C5,C9,C10,C17,C18,C22:C23)</f>
        <v>821727.7259443782</v>
      </c>
      <c r="D24" s="233">
        <f>SUM(D5,D9,D10,D17,D18,D22:D23)</f>
        <v>20512</v>
      </c>
      <c r="E24" s="233">
        <f t="shared" si="2"/>
        <v>842239.7259443782</v>
      </c>
      <c r="F24" s="233">
        <f>SUM(F5,F9,F10,F17,F18,F22:F23)</f>
        <v>60349</v>
      </c>
      <c r="G24" s="233">
        <f t="shared" si="3"/>
        <v>902588.7259443782</v>
      </c>
      <c r="H24" s="233">
        <f>SUM(H5,H9,H10,H17,H18,H22:H23)</f>
        <v>368411</v>
      </c>
      <c r="I24" s="531">
        <f t="shared" si="4"/>
        <v>0.4081715064793566</v>
      </c>
      <c r="J24" s="233">
        <f>SUM(J5,J9,J10,J17,J18,J22:J23)</f>
        <v>6198</v>
      </c>
      <c r="K24" s="233">
        <f t="shared" si="5"/>
        <v>908786.7259443782</v>
      </c>
      <c r="L24" s="451">
        <f t="shared" si="0"/>
        <v>0</v>
      </c>
      <c r="T24" s="456"/>
      <c r="W24" s="451">
        <f t="shared" si="1"/>
        <v>0</v>
      </c>
    </row>
    <row r="25" spans="1:23" ht="12.75">
      <c r="A25" s="15"/>
      <c r="B25" s="20"/>
      <c r="C25" s="168"/>
      <c r="D25" s="168"/>
      <c r="E25" s="168">
        <f t="shared" si="2"/>
        <v>0</v>
      </c>
      <c r="F25" s="168"/>
      <c r="G25" s="168">
        <f t="shared" si="3"/>
        <v>0</v>
      </c>
      <c r="H25" s="168"/>
      <c r="I25" s="528"/>
      <c r="J25" s="168"/>
      <c r="K25" s="168">
        <f t="shared" si="5"/>
        <v>0</v>
      </c>
      <c r="L25" s="451">
        <f t="shared" si="0"/>
        <v>0</v>
      </c>
      <c r="T25" s="456"/>
      <c r="W25" s="451">
        <f t="shared" si="1"/>
        <v>0</v>
      </c>
    </row>
    <row r="26" spans="1:23" ht="12.75">
      <c r="A26" s="51" t="s">
        <v>48</v>
      </c>
      <c r="B26" s="30" t="s">
        <v>64</v>
      </c>
      <c r="C26" s="171"/>
      <c r="D26" s="171"/>
      <c r="E26" s="171">
        <f t="shared" si="2"/>
        <v>0</v>
      </c>
      <c r="F26" s="171"/>
      <c r="G26" s="171">
        <f t="shared" si="3"/>
        <v>0</v>
      </c>
      <c r="H26" s="171"/>
      <c r="I26" s="532"/>
      <c r="J26" s="171"/>
      <c r="K26" s="171">
        <f t="shared" si="5"/>
        <v>0</v>
      </c>
      <c r="L26" s="451">
        <f t="shared" si="0"/>
        <v>0</v>
      </c>
      <c r="T26" s="456"/>
      <c r="W26" s="451">
        <f t="shared" si="1"/>
        <v>0</v>
      </c>
    </row>
    <row r="27" spans="1:26" ht="12.75">
      <c r="A27" s="51" t="s">
        <v>32</v>
      </c>
      <c r="B27" s="24" t="s">
        <v>65</v>
      </c>
      <c r="C27" s="166">
        <f>+'[2]2.sz. Szakfeladat összesítő'!$AK$7</f>
        <v>113360.2</v>
      </c>
      <c r="D27" s="166">
        <f>3094+1000-1270</f>
        <v>2824</v>
      </c>
      <c r="E27" s="166">
        <f t="shared" si="2"/>
        <v>116184.2</v>
      </c>
      <c r="F27" s="166"/>
      <c r="G27" s="166">
        <f t="shared" si="3"/>
        <v>116184.2</v>
      </c>
      <c r="H27" s="166">
        <v>13917</v>
      </c>
      <c r="I27" s="530">
        <f t="shared" si="4"/>
        <v>0.11978392931224728</v>
      </c>
      <c r="J27" s="166">
        <v>234197</v>
      </c>
      <c r="K27" s="166">
        <f t="shared" si="5"/>
        <v>350381.2</v>
      </c>
      <c r="L27" s="451">
        <f t="shared" si="0"/>
        <v>237497</v>
      </c>
      <c r="P27" s="14">
        <v>-1270</v>
      </c>
      <c r="R27" s="14">
        <v>1000</v>
      </c>
      <c r="T27" s="456">
        <v>3094</v>
      </c>
      <c r="W27" s="451">
        <f t="shared" si="1"/>
        <v>234197</v>
      </c>
      <c r="X27" s="14">
        <f>131+345</f>
        <v>476</v>
      </c>
      <c r="Z27" s="14">
        <f>5207-12700-1905+3861+791+3268+235199</f>
        <v>233721</v>
      </c>
    </row>
    <row r="28" spans="1:23" ht="12.75">
      <c r="A28" s="51" t="s">
        <v>35</v>
      </c>
      <c r="B28" s="87" t="s">
        <v>5</v>
      </c>
      <c r="C28" s="166">
        <f>+'[2]2.sz. Szakfeladat összesítő'!$AK$16</f>
        <v>92219.78</v>
      </c>
      <c r="D28" s="166">
        <v>2500</v>
      </c>
      <c r="E28" s="166">
        <f t="shared" si="2"/>
        <v>94719.78</v>
      </c>
      <c r="F28" s="166"/>
      <c r="G28" s="166">
        <f t="shared" si="3"/>
        <v>94719.78</v>
      </c>
      <c r="H28" s="166">
        <v>7294</v>
      </c>
      <c r="I28" s="530">
        <f t="shared" si="4"/>
        <v>0.07700609101921478</v>
      </c>
      <c r="J28" s="166"/>
      <c r="K28" s="166">
        <f t="shared" si="5"/>
        <v>94719.78</v>
      </c>
      <c r="L28" s="451">
        <f t="shared" si="0"/>
        <v>2500</v>
      </c>
      <c r="R28" s="14">
        <v>2500</v>
      </c>
      <c r="W28" s="451">
        <f t="shared" si="1"/>
        <v>0</v>
      </c>
    </row>
    <row r="29" spans="1:23" ht="13.5" thickBot="1">
      <c r="A29" s="51" t="s">
        <v>37</v>
      </c>
      <c r="B29" s="24" t="s">
        <v>328</v>
      </c>
      <c r="C29" s="166"/>
      <c r="D29" s="166">
        <v>2000</v>
      </c>
      <c r="E29" s="166">
        <f t="shared" si="2"/>
        <v>2000</v>
      </c>
      <c r="F29" s="166"/>
      <c r="G29" s="166">
        <f t="shared" si="3"/>
        <v>2000</v>
      </c>
      <c r="H29" s="166"/>
      <c r="I29" s="530">
        <f t="shared" si="4"/>
        <v>0</v>
      </c>
      <c r="J29" s="166"/>
      <c r="K29" s="166">
        <f t="shared" si="5"/>
        <v>2000</v>
      </c>
      <c r="L29" s="451">
        <f t="shared" si="0"/>
        <v>2000</v>
      </c>
      <c r="R29" s="14">
        <v>2000</v>
      </c>
      <c r="W29" s="451">
        <f t="shared" si="1"/>
        <v>0</v>
      </c>
    </row>
    <row r="30" spans="1:23" ht="13.5" thickBot="1">
      <c r="A30" s="55" t="s">
        <v>48</v>
      </c>
      <c r="B30" s="107" t="s">
        <v>66</v>
      </c>
      <c r="C30" s="233">
        <f>SUM(C27:C29)</f>
        <v>205579.97999999998</v>
      </c>
      <c r="D30" s="233">
        <f>SUM(D27:D29)</f>
        <v>7324</v>
      </c>
      <c r="E30" s="233">
        <f>SUM(E27:E29)</f>
        <v>212903.97999999998</v>
      </c>
      <c r="F30" s="233">
        <f>SUM(F27:F29)</f>
        <v>0</v>
      </c>
      <c r="G30" s="233">
        <f t="shared" si="3"/>
        <v>212903.97999999998</v>
      </c>
      <c r="H30" s="233">
        <f>SUM(H27:H29)</f>
        <v>21211</v>
      </c>
      <c r="I30" s="531">
        <f t="shared" si="4"/>
        <v>0.0996270713210716</v>
      </c>
      <c r="J30" s="233">
        <f>SUM(J27:J29)</f>
        <v>234197</v>
      </c>
      <c r="K30" s="233">
        <f t="shared" si="5"/>
        <v>447100.98</v>
      </c>
      <c r="L30" s="451">
        <f t="shared" si="0"/>
        <v>0</v>
      </c>
      <c r="W30" s="451">
        <f t="shared" si="1"/>
        <v>0</v>
      </c>
    </row>
    <row r="31" spans="1:23" ht="12.75">
      <c r="A31" s="51" t="s">
        <v>54</v>
      </c>
      <c r="B31" s="30" t="s">
        <v>67</v>
      </c>
      <c r="C31" s="171"/>
      <c r="D31" s="171"/>
      <c r="E31" s="171"/>
      <c r="F31" s="171"/>
      <c r="G31" s="171"/>
      <c r="H31" s="171"/>
      <c r="I31" s="532"/>
      <c r="J31" s="171"/>
      <c r="K31" s="171">
        <f t="shared" si="5"/>
        <v>0</v>
      </c>
      <c r="L31" s="451">
        <f t="shared" si="0"/>
        <v>0</v>
      </c>
      <c r="W31" s="451">
        <f t="shared" si="1"/>
        <v>0</v>
      </c>
    </row>
    <row r="32" spans="1:23" ht="12.75">
      <c r="A32" s="51" t="s">
        <v>29</v>
      </c>
      <c r="B32" s="179" t="s">
        <v>6</v>
      </c>
      <c r="C32" s="169">
        <f>SUM(C33:C38)</f>
        <v>108601</v>
      </c>
      <c r="D32" s="169">
        <f>SUM(D33:D38)</f>
        <v>0</v>
      </c>
      <c r="E32" s="169">
        <f t="shared" si="2"/>
        <v>108601</v>
      </c>
      <c r="F32" s="169"/>
      <c r="G32" s="169">
        <f t="shared" si="3"/>
        <v>108601</v>
      </c>
      <c r="H32" s="169">
        <f>SUM(H33:H38)</f>
        <v>0</v>
      </c>
      <c r="I32" s="527">
        <f t="shared" si="4"/>
        <v>0</v>
      </c>
      <c r="J32" s="169">
        <f>SUM(J33:J38)</f>
        <v>42829</v>
      </c>
      <c r="K32" s="169">
        <f t="shared" si="5"/>
        <v>151430</v>
      </c>
      <c r="L32" s="451">
        <f t="shared" si="0"/>
        <v>0</v>
      </c>
      <c r="W32" s="451">
        <f t="shared" si="1"/>
        <v>0</v>
      </c>
    </row>
    <row r="33" spans="1:23" ht="12.75">
      <c r="A33" s="56"/>
      <c r="B33" s="180" t="s">
        <v>68</v>
      </c>
      <c r="C33" s="172"/>
      <c r="D33" s="172"/>
      <c r="E33" s="172">
        <f t="shared" si="2"/>
        <v>0</v>
      </c>
      <c r="F33" s="172"/>
      <c r="G33" s="172">
        <f t="shared" si="3"/>
        <v>0</v>
      </c>
      <c r="H33" s="172"/>
      <c r="I33" s="533" t="e">
        <f t="shared" si="4"/>
        <v>#DIV/0!</v>
      </c>
      <c r="J33" s="172"/>
      <c r="K33" s="172">
        <f t="shared" si="5"/>
        <v>0</v>
      </c>
      <c r="L33" s="451">
        <f t="shared" si="0"/>
        <v>0</v>
      </c>
      <c r="W33" s="451">
        <f t="shared" si="1"/>
        <v>0</v>
      </c>
    </row>
    <row r="34" spans="1:26" ht="12.75">
      <c r="A34" s="56"/>
      <c r="B34" s="180" t="s">
        <v>69</v>
      </c>
      <c r="C34" s="173">
        <f>+'[2]2.sz. Szakfeladat összesítő'!$AK$303</f>
        <v>108601</v>
      </c>
      <c r="D34" s="173"/>
      <c r="E34" s="173">
        <f t="shared" si="2"/>
        <v>108601</v>
      </c>
      <c r="F34" s="173"/>
      <c r="G34" s="173">
        <f t="shared" si="3"/>
        <v>108601</v>
      </c>
      <c r="H34" s="173"/>
      <c r="I34" s="534">
        <f t="shared" si="4"/>
        <v>0</v>
      </c>
      <c r="J34" s="173">
        <v>-2181</v>
      </c>
      <c r="K34" s="173">
        <f t="shared" si="5"/>
        <v>106420</v>
      </c>
      <c r="L34" s="451">
        <f t="shared" si="0"/>
        <v>-2181</v>
      </c>
      <c r="W34" s="451">
        <f t="shared" si="1"/>
        <v>-2181</v>
      </c>
      <c r="Z34" s="14">
        <f>-5207+12700+1905+300-119-11760</f>
        <v>-2181</v>
      </c>
    </row>
    <row r="35" spans="1:23" ht="12.75">
      <c r="A35" s="56"/>
      <c r="B35" s="180" t="s">
        <v>0</v>
      </c>
      <c r="C35" s="173"/>
      <c r="D35" s="173"/>
      <c r="E35" s="173">
        <f t="shared" si="2"/>
        <v>0</v>
      </c>
      <c r="F35" s="173"/>
      <c r="G35" s="173">
        <f t="shared" si="3"/>
        <v>0</v>
      </c>
      <c r="H35" s="173"/>
      <c r="I35" s="534" t="e">
        <f t="shared" si="4"/>
        <v>#DIV/0!</v>
      </c>
      <c r="J35" s="173"/>
      <c r="K35" s="173">
        <f t="shared" si="5"/>
        <v>0</v>
      </c>
      <c r="L35" s="451">
        <f t="shared" si="0"/>
        <v>0</v>
      </c>
      <c r="W35" s="451">
        <f t="shared" si="1"/>
        <v>0</v>
      </c>
    </row>
    <row r="36" spans="1:27" ht="12.75">
      <c r="A36" s="51"/>
      <c r="B36" s="181" t="s">
        <v>70</v>
      </c>
      <c r="C36" s="171"/>
      <c r="D36" s="171"/>
      <c r="E36" s="171">
        <f t="shared" si="2"/>
        <v>0</v>
      </c>
      <c r="F36" s="171"/>
      <c r="G36" s="171">
        <f t="shared" si="3"/>
        <v>0</v>
      </c>
      <c r="H36" s="171"/>
      <c r="I36" s="532" t="e">
        <f t="shared" si="4"/>
        <v>#DIV/0!</v>
      </c>
      <c r="J36" s="171">
        <v>45010</v>
      </c>
      <c r="K36" s="171">
        <f t="shared" si="5"/>
        <v>45010</v>
      </c>
      <c r="L36" s="451">
        <f t="shared" si="0"/>
        <v>45010</v>
      </c>
      <c r="W36" s="451">
        <f t="shared" si="1"/>
        <v>45010</v>
      </c>
      <c r="AA36" s="14">
        <f>28039+16971</f>
        <v>45010</v>
      </c>
    </row>
    <row r="37" spans="1:23" ht="12.75">
      <c r="A37" s="56" t="s">
        <v>32</v>
      </c>
      <c r="B37" s="180" t="s">
        <v>12</v>
      </c>
      <c r="C37" s="173"/>
      <c r="D37" s="173"/>
      <c r="E37" s="173">
        <f t="shared" si="2"/>
        <v>0</v>
      </c>
      <c r="F37" s="173"/>
      <c r="G37" s="173">
        <f t="shared" si="3"/>
        <v>0</v>
      </c>
      <c r="H37" s="173"/>
      <c r="I37" s="534" t="e">
        <f t="shared" si="4"/>
        <v>#DIV/0!</v>
      </c>
      <c r="J37" s="173"/>
      <c r="K37" s="173">
        <f t="shared" si="5"/>
        <v>0</v>
      </c>
      <c r="L37" s="451">
        <f t="shared" si="0"/>
        <v>0</v>
      </c>
      <c r="W37" s="451">
        <f t="shared" si="1"/>
        <v>0</v>
      </c>
    </row>
    <row r="38" spans="1:23" ht="13.5" thickBot="1">
      <c r="A38" s="56"/>
      <c r="B38" s="180" t="s">
        <v>80</v>
      </c>
      <c r="C38" s="173"/>
      <c r="D38" s="173"/>
      <c r="E38" s="173">
        <f t="shared" si="2"/>
        <v>0</v>
      </c>
      <c r="F38" s="173"/>
      <c r="G38" s="173">
        <f t="shared" si="3"/>
        <v>0</v>
      </c>
      <c r="H38" s="173"/>
      <c r="I38" s="534" t="e">
        <f t="shared" si="4"/>
        <v>#DIV/0!</v>
      </c>
      <c r="J38" s="173"/>
      <c r="K38" s="173">
        <f t="shared" si="5"/>
        <v>0</v>
      </c>
      <c r="L38" s="451">
        <f t="shared" si="0"/>
        <v>0</v>
      </c>
      <c r="W38" s="451">
        <f t="shared" si="1"/>
        <v>0</v>
      </c>
    </row>
    <row r="39" spans="1:23" ht="13.5" thickBot="1">
      <c r="A39" s="55" t="s">
        <v>54</v>
      </c>
      <c r="B39" s="107" t="s">
        <v>71</v>
      </c>
      <c r="C39" s="233">
        <f>C32</f>
        <v>108601</v>
      </c>
      <c r="D39" s="233">
        <f>D32</f>
        <v>0</v>
      </c>
      <c r="E39" s="233">
        <f t="shared" si="2"/>
        <v>108601</v>
      </c>
      <c r="F39" s="233">
        <f>F32</f>
        <v>0</v>
      </c>
      <c r="G39" s="233">
        <f t="shared" si="3"/>
        <v>108601</v>
      </c>
      <c r="H39" s="233">
        <f>H32</f>
        <v>0</v>
      </c>
      <c r="I39" s="531">
        <f t="shared" si="4"/>
        <v>0</v>
      </c>
      <c r="J39" s="233">
        <f>J32</f>
        <v>42829</v>
      </c>
      <c r="K39" s="233">
        <f t="shared" si="5"/>
        <v>151430</v>
      </c>
      <c r="L39" s="451">
        <f t="shared" si="0"/>
        <v>0</v>
      </c>
      <c r="W39" s="451">
        <f t="shared" si="1"/>
        <v>0</v>
      </c>
    </row>
    <row r="40" spans="1:23" ht="13.5" thickBot="1">
      <c r="A40" s="57" t="s">
        <v>55</v>
      </c>
      <c r="B40" s="182" t="s">
        <v>72</v>
      </c>
      <c r="C40" s="234">
        <f>+'[1]2.sz. Szakfeladat összesítő'!$AK$32</f>
        <v>51957</v>
      </c>
      <c r="D40" s="234"/>
      <c r="E40" s="234">
        <f t="shared" si="2"/>
        <v>51957</v>
      </c>
      <c r="F40" s="234"/>
      <c r="G40" s="234">
        <f t="shared" si="3"/>
        <v>51957</v>
      </c>
      <c r="H40" s="234">
        <v>24463</v>
      </c>
      <c r="I40" s="535">
        <f t="shared" si="4"/>
        <v>0.470831649248417</v>
      </c>
      <c r="J40" s="234"/>
      <c r="K40" s="234">
        <f t="shared" si="5"/>
        <v>51957</v>
      </c>
      <c r="L40" s="451">
        <f t="shared" si="0"/>
        <v>0</v>
      </c>
      <c r="W40" s="451">
        <f t="shared" si="1"/>
        <v>0</v>
      </c>
    </row>
    <row r="41" spans="1:23" ht="13.5" thickBot="1">
      <c r="A41" s="167" t="s">
        <v>55</v>
      </c>
      <c r="B41" s="107" t="s">
        <v>73</v>
      </c>
      <c r="C41" s="233"/>
      <c r="D41" s="233"/>
      <c r="E41" s="233">
        <f t="shared" si="2"/>
        <v>0</v>
      </c>
      <c r="F41" s="233"/>
      <c r="G41" s="233">
        <f t="shared" si="3"/>
        <v>0</v>
      </c>
      <c r="H41" s="233">
        <v>1285</v>
      </c>
      <c r="I41" s="531" t="e">
        <f t="shared" si="4"/>
        <v>#DIV/0!</v>
      </c>
      <c r="J41" s="233"/>
      <c r="K41" s="233">
        <f t="shared" si="5"/>
        <v>0</v>
      </c>
      <c r="L41" s="451">
        <f t="shared" si="0"/>
        <v>0</v>
      </c>
      <c r="W41" s="451">
        <f t="shared" si="1"/>
        <v>0</v>
      </c>
    </row>
    <row r="42" spans="1:23" ht="18" customHeight="1" thickBot="1">
      <c r="A42" s="58"/>
      <c r="B42" s="183" t="s">
        <v>74</v>
      </c>
      <c r="C42" s="174">
        <f>C24+C30+C39+C40</f>
        <v>1187865.7059443782</v>
      </c>
      <c r="D42" s="174">
        <f>D24+D30+D39+D40</f>
        <v>27836</v>
      </c>
      <c r="E42" s="174">
        <f t="shared" si="2"/>
        <v>1215701.7059443782</v>
      </c>
      <c r="F42" s="174">
        <f>F24+F30+F39+F40</f>
        <v>60349</v>
      </c>
      <c r="G42" s="174">
        <f t="shared" si="3"/>
        <v>1276050.7059443782</v>
      </c>
      <c r="H42" s="174">
        <f>H24+H30+H39+H40+H41</f>
        <v>415370</v>
      </c>
      <c r="I42" s="536">
        <f t="shared" si="4"/>
        <v>0.32551214310296034</v>
      </c>
      <c r="J42" s="174">
        <f>J24+J30+J39+J40</f>
        <v>283224</v>
      </c>
      <c r="K42" s="174">
        <f t="shared" si="5"/>
        <v>1559274.7059443782</v>
      </c>
      <c r="L42" s="451">
        <f t="shared" si="0"/>
        <v>0</v>
      </c>
      <c r="W42" s="451">
        <f t="shared" si="1"/>
        <v>0</v>
      </c>
    </row>
    <row r="43" spans="1:12" ht="18.75" customHeight="1" thickBot="1">
      <c r="A43" s="6"/>
      <c r="B43" s="46"/>
      <c r="C43" s="453"/>
      <c r="D43" s="453"/>
      <c r="E43" s="454">
        <f t="shared" si="2"/>
        <v>0</v>
      </c>
      <c r="F43" s="453"/>
      <c r="G43" s="454">
        <f>+C43+F43</f>
        <v>0</v>
      </c>
      <c r="H43" s="453"/>
      <c r="I43" s="537"/>
      <c r="J43" s="453"/>
      <c r="K43" s="453">
        <f t="shared" si="5"/>
        <v>0</v>
      </c>
      <c r="L43" s="451"/>
    </row>
    <row r="44" spans="1:12" ht="12.75">
      <c r="A44" s="6"/>
      <c r="B44" s="232" t="s">
        <v>118</v>
      </c>
      <c r="C44" s="315">
        <v>7</v>
      </c>
      <c r="D44" s="315"/>
      <c r="E44" s="315">
        <f t="shared" si="2"/>
        <v>7</v>
      </c>
      <c r="F44" s="315"/>
      <c r="G44" s="315">
        <f>+C44+F44</f>
        <v>7</v>
      </c>
      <c r="H44" s="524"/>
      <c r="I44" s="538">
        <f t="shared" si="4"/>
        <v>0</v>
      </c>
      <c r="J44" s="315">
        <v>-2</v>
      </c>
      <c r="K44" s="315">
        <f t="shared" si="5"/>
        <v>5</v>
      </c>
      <c r="L44" s="451"/>
    </row>
    <row r="45" spans="1:12" ht="13.5" thickBot="1">
      <c r="A45" s="455"/>
      <c r="B45" s="114" t="s">
        <v>119</v>
      </c>
      <c r="C45" s="316">
        <v>7</v>
      </c>
      <c r="D45" s="316"/>
      <c r="E45" s="316">
        <f t="shared" si="2"/>
        <v>7</v>
      </c>
      <c r="F45" s="316"/>
      <c r="G45" s="316">
        <f>+C45+F45</f>
        <v>7</v>
      </c>
      <c r="H45" s="525"/>
      <c r="I45" s="539">
        <f t="shared" si="4"/>
        <v>0</v>
      </c>
      <c r="J45" s="316">
        <v>-2</v>
      </c>
      <c r="K45" s="316">
        <f t="shared" si="5"/>
        <v>5</v>
      </c>
      <c r="L45" s="451"/>
    </row>
    <row r="46" spans="2:3" ht="12.75">
      <c r="B46" s="41"/>
      <c r="C46" s="59"/>
    </row>
    <row r="47" spans="2:11" ht="12.75">
      <c r="B47" s="60"/>
      <c r="C47" s="165"/>
      <c r="K47" s="45"/>
    </row>
    <row r="48" ht="12.75">
      <c r="B48" s="41"/>
    </row>
    <row r="49" ht="12.75">
      <c r="B49" s="41"/>
    </row>
    <row r="50" ht="12.75">
      <c r="B50" s="41"/>
    </row>
  </sheetData>
  <printOptions horizontalCentered="1"/>
  <pageMargins left="0.6299212598425197" right="0.4724409448818898" top="0.96" bottom="0.56" header="0.5118110236220472" footer="0.27"/>
  <pageSetup fitToHeight="1" fitToWidth="1" horizontalDpi="600" verticalDpi="600" orientation="landscape" paperSize="9" scale="60" r:id="rId1"/>
  <headerFooter alignWithMargins="0">
    <oddHeader>&amp;L4/A sz.melléklet&amp;C&amp;"Arial,Félkövér"&amp;12Nagykovácsi Nagyközség Önkormányzatának
2012.évi kiadásai kiemelt előirányzatonként&amp;Radatok eFt-ban</oddHeader>
    <oddFooter>&amp;L&amp;"Arial,Dőlt"&amp;8&amp;D&amp;C&amp;"Arial,Dőlt"&amp;8&amp;P&amp;R&amp;"Arial,Dőlt"&amp;8&amp;F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5">
    <tabColor indexed="45"/>
    <pageSetUpPr fitToPage="1"/>
  </sheetPr>
  <dimension ref="A1:T47"/>
  <sheetViews>
    <sheetView zoomScale="75" zoomScaleNormal="75" workbookViewId="0" topLeftCell="K1">
      <selection activeCell="M1" sqref="M1:Z16384"/>
    </sheetView>
  </sheetViews>
  <sheetFormatPr defaultColWidth="9.140625" defaultRowHeight="12.75"/>
  <cols>
    <col min="1" max="1" width="6.57421875" style="253" customWidth="1"/>
    <col min="2" max="2" width="61.7109375" style="253" customWidth="1"/>
    <col min="3" max="4" width="20.140625" style="253" hidden="1" customWidth="1"/>
    <col min="5" max="5" width="20.140625" style="253" bestFit="1" customWidth="1"/>
    <col min="6" max="6" width="13.8515625" style="272" hidden="1" customWidth="1"/>
    <col min="7" max="9" width="20.140625" style="253" hidden="1" customWidth="1"/>
    <col min="10" max="12" width="20.140625" style="253" bestFit="1" customWidth="1"/>
    <col min="13" max="14" width="20.140625" style="253" hidden="1" customWidth="1"/>
    <col min="15" max="15" width="7.28125" style="253" hidden="1" customWidth="1"/>
    <col min="16" max="16" width="10.421875" style="253" hidden="1" customWidth="1"/>
    <col min="17" max="18" width="9.28125" style="253" hidden="1" customWidth="1"/>
    <col min="19" max="26" width="0" style="253" hidden="1" customWidth="1"/>
    <col min="27" max="16384" width="9.140625" style="253" customWidth="1"/>
  </cols>
  <sheetData>
    <row r="1" spans="1:6" s="8" customFormat="1" ht="32.25" customHeight="1" thickBot="1">
      <c r="A1" s="247" t="s">
        <v>205</v>
      </c>
      <c r="B1" s="248" t="s">
        <v>7</v>
      </c>
      <c r="C1" s="570" t="s">
        <v>206</v>
      </c>
      <c r="D1" s="571"/>
      <c r="E1" s="572"/>
      <c r="F1" s="249"/>
    </row>
    <row r="2" spans="1:14" ht="53.25" customHeight="1" thickBot="1">
      <c r="A2" s="250"/>
      <c r="B2" s="251"/>
      <c r="C2" s="68" t="s">
        <v>207</v>
      </c>
      <c r="D2" s="68" t="s">
        <v>208</v>
      </c>
      <c r="E2" s="68" t="s">
        <v>209</v>
      </c>
      <c r="F2" s="252" t="s">
        <v>210</v>
      </c>
      <c r="G2" s="68" t="s">
        <v>339</v>
      </c>
      <c r="H2" s="68" t="s">
        <v>338</v>
      </c>
      <c r="I2" s="68" t="s">
        <v>381</v>
      </c>
      <c r="J2" s="68" t="s">
        <v>382</v>
      </c>
      <c r="K2" s="461" t="s">
        <v>383</v>
      </c>
      <c r="L2" s="461" t="s">
        <v>384</v>
      </c>
      <c r="M2" s="68" t="s">
        <v>355</v>
      </c>
      <c r="N2" s="68" t="s">
        <v>356</v>
      </c>
    </row>
    <row r="3" spans="1:14" ht="16.5" customHeight="1" thickBot="1">
      <c r="A3" s="254"/>
      <c r="B3" s="251" t="s">
        <v>211</v>
      </c>
      <c r="C3" s="255"/>
      <c r="D3" s="255"/>
      <c r="E3" s="255"/>
      <c r="F3" s="256"/>
      <c r="G3" s="255"/>
      <c r="H3" s="255"/>
      <c r="I3" s="255"/>
      <c r="J3" s="255"/>
      <c r="K3" s="255"/>
      <c r="L3" s="255"/>
      <c r="M3" s="255"/>
      <c r="N3" s="255"/>
    </row>
    <row r="4" spans="1:16" ht="12.75">
      <c r="A4" s="257">
        <v>1</v>
      </c>
      <c r="B4" s="258" t="s">
        <v>212</v>
      </c>
      <c r="C4" s="259">
        <v>7000</v>
      </c>
      <c r="D4" s="259">
        <f aca="true" t="shared" si="0" ref="D4:D9">+C4*0.27</f>
        <v>1890.0000000000002</v>
      </c>
      <c r="E4" s="259">
        <f aca="true" t="shared" si="1" ref="E4:E9">+C4+D4</f>
        <v>8890</v>
      </c>
      <c r="F4" s="260">
        <v>4211001</v>
      </c>
      <c r="G4" s="259"/>
      <c r="H4" s="259">
        <f aca="true" t="shared" si="2" ref="H4:H24">+E4+G4</f>
        <v>8890</v>
      </c>
      <c r="I4" s="259"/>
      <c r="J4" s="259">
        <f aca="true" t="shared" si="3" ref="J4:J41">+H4+I4</f>
        <v>8890</v>
      </c>
      <c r="K4" s="259"/>
      <c r="L4" s="462">
        <f>+K4/J4</f>
        <v>0</v>
      </c>
      <c r="M4" s="259"/>
      <c r="N4" s="259">
        <f>+J4+M4</f>
        <v>8890</v>
      </c>
      <c r="P4" s="466">
        <f>SUM(Q4:AB4)</f>
        <v>0</v>
      </c>
    </row>
    <row r="5" spans="1:16" s="262" customFormat="1" ht="12.75">
      <c r="A5" s="257">
        <v>1</v>
      </c>
      <c r="B5" s="261" t="s">
        <v>213</v>
      </c>
      <c r="C5" s="259">
        <v>15000</v>
      </c>
      <c r="D5" s="259">
        <f t="shared" si="0"/>
        <v>4050.0000000000005</v>
      </c>
      <c r="E5" s="259">
        <f t="shared" si="1"/>
        <v>19050</v>
      </c>
      <c r="F5" s="260">
        <v>9603021</v>
      </c>
      <c r="G5" s="259"/>
      <c r="H5" s="259">
        <f t="shared" si="2"/>
        <v>19050</v>
      </c>
      <c r="I5" s="259"/>
      <c r="J5" s="259">
        <f t="shared" si="3"/>
        <v>19050</v>
      </c>
      <c r="K5" s="259"/>
      <c r="L5" s="462">
        <f aca="true" t="shared" si="4" ref="L5:L41">+K5/J5</f>
        <v>0</v>
      </c>
      <c r="M5" s="259"/>
      <c r="N5" s="259">
        <f aca="true" t="shared" si="5" ref="N5:N41">+J5+M5</f>
        <v>19050</v>
      </c>
      <c r="P5" s="466">
        <f aca="true" t="shared" si="6" ref="P5:P40">SUM(Q5:AB5)</f>
        <v>0</v>
      </c>
    </row>
    <row r="6" spans="1:16" s="262" customFormat="1" ht="12.75">
      <c r="A6" s="257">
        <v>1</v>
      </c>
      <c r="B6" s="261" t="s">
        <v>214</v>
      </c>
      <c r="C6" s="259">
        <v>930</v>
      </c>
      <c r="D6" s="259">
        <f t="shared" si="0"/>
        <v>251.10000000000002</v>
      </c>
      <c r="E6" s="259">
        <f t="shared" si="1"/>
        <v>1181.1</v>
      </c>
      <c r="F6" s="260">
        <v>4211001</v>
      </c>
      <c r="G6" s="259"/>
      <c r="H6" s="259">
        <f t="shared" si="2"/>
        <v>1181.1</v>
      </c>
      <c r="I6" s="259"/>
      <c r="J6" s="259">
        <f t="shared" si="3"/>
        <v>1181.1</v>
      </c>
      <c r="K6" s="259"/>
      <c r="L6" s="462">
        <f t="shared" si="4"/>
        <v>0</v>
      </c>
      <c r="M6" s="259"/>
      <c r="N6" s="259">
        <f t="shared" si="5"/>
        <v>1181.1</v>
      </c>
      <c r="P6" s="466">
        <f t="shared" si="6"/>
        <v>0</v>
      </c>
    </row>
    <row r="7" spans="1:18" s="262" customFormat="1" ht="12.75">
      <c r="A7" s="257">
        <v>1</v>
      </c>
      <c r="B7" s="261" t="s">
        <v>215</v>
      </c>
      <c r="C7" s="259">
        <v>48896</v>
      </c>
      <c r="D7" s="259">
        <f t="shared" si="0"/>
        <v>13201.92</v>
      </c>
      <c r="E7" s="259">
        <f t="shared" si="1"/>
        <v>62097.92</v>
      </c>
      <c r="F7" s="260">
        <v>3700001</v>
      </c>
      <c r="G7" s="259"/>
      <c r="H7" s="259">
        <f t="shared" si="2"/>
        <v>62097.92</v>
      </c>
      <c r="I7" s="259"/>
      <c r="J7" s="259">
        <f t="shared" si="3"/>
        <v>62097.92</v>
      </c>
      <c r="K7" s="259">
        <v>944</v>
      </c>
      <c r="L7" s="462">
        <f t="shared" si="4"/>
        <v>0.015201797419301645</v>
      </c>
      <c r="M7" s="259"/>
      <c r="N7" s="259">
        <f t="shared" si="5"/>
        <v>62097.92</v>
      </c>
      <c r="P7" s="466">
        <f t="shared" si="6"/>
        <v>944362</v>
      </c>
      <c r="Q7" s="262">
        <v>743592</v>
      </c>
      <c r="R7" s="262">
        <v>200770</v>
      </c>
    </row>
    <row r="8" spans="1:16" s="262" customFormat="1" ht="12.75">
      <c r="A8" s="257">
        <v>2</v>
      </c>
      <c r="B8" s="261" t="s">
        <v>243</v>
      </c>
      <c r="C8" s="259">
        <v>788</v>
      </c>
      <c r="D8" s="259">
        <f t="shared" si="0"/>
        <v>212.76000000000002</v>
      </c>
      <c r="E8" s="259">
        <f t="shared" si="1"/>
        <v>1000.76</v>
      </c>
      <c r="F8" s="260"/>
      <c r="G8" s="259"/>
      <c r="H8" s="259">
        <f t="shared" si="2"/>
        <v>1000.76</v>
      </c>
      <c r="I8" s="259"/>
      <c r="J8" s="259">
        <f t="shared" si="3"/>
        <v>1000.76</v>
      </c>
      <c r="K8" s="259"/>
      <c r="L8" s="462">
        <f t="shared" si="4"/>
        <v>0</v>
      </c>
      <c r="M8" s="259"/>
      <c r="N8" s="259">
        <f t="shared" si="5"/>
        <v>1000.76</v>
      </c>
      <c r="P8" s="466">
        <f t="shared" si="6"/>
        <v>0</v>
      </c>
    </row>
    <row r="9" spans="1:16" s="262" customFormat="1" ht="12.75">
      <c r="A9" s="257">
        <v>1</v>
      </c>
      <c r="B9" s="261" t="s">
        <v>340</v>
      </c>
      <c r="C9" s="259"/>
      <c r="D9" s="259">
        <f t="shared" si="0"/>
        <v>0</v>
      </c>
      <c r="E9" s="259">
        <f t="shared" si="1"/>
        <v>0</v>
      </c>
      <c r="F9" s="260">
        <v>8411541</v>
      </c>
      <c r="G9" s="259">
        <v>2500</v>
      </c>
      <c r="H9" s="259">
        <f t="shared" si="2"/>
        <v>2500</v>
      </c>
      <c r="I9" s="259"/>
      <c r="J9" s="259">
        <f t="shared" si="3"/>
        <v>2500</v>
      </c>
      <c r="K9" s="259"/>
      <c r="L9" s="462">
        <f t="shared" si="4"/>
        <v>0</v>
      </c>
      <c r="M9" s="259"/>
      <c r="N9" s="259">
        <f t="shared" si="5"/>
        <v>2500</v>
      </c>
      <c r="P9" s="466">
        <f t="shared" si="6"/>
        <v>0</v>
      </c>
    </row>
    <row r="10" spans="1:20" s="262" customFormat="1" ht="12.75">
      <c r="A10" s="257"/>
      <c r="B10" s="261" t="s">
        <v>391</v>
      </c>
      <c r="C10" s="259"/>
      <c r="D10" s="259"/>
      <c r="E10" s="259"/>
      <c r="F10" s="260"/>
      <c r="G10" s="259"/>
      <c r="H10" s="259"/>
      <c r="I10" s="259"/>
      <c r="J10" s="259"/>
      <c r="K10" s="259">
        <v>6223</v>
      </c>
      <c r="L10" s="462"/>
      <c r="M10" s="259"/>
      <c r="N10" s="259"/>
      <c r="P10" s="466">
        <f t="shared" si="6"/>
        <v>6223000</v>
      </c>
      <c r="Q10" s="262">
        <v>2000000</v>
      </c>
      <c r="R10" s="262">
        <v>2900000</v>
      </c>
      <c r="S10" s="262">
        <v>540000</v>
      </c>
      <c r="T10" s="467">
        <v>783000</v>
      </c>
    </row>
    <row r="11" spans="1:18" s="262" customFormat="1" ht="12.75">
      <c r="A11" s="257"/>
      <c r="B11" s="261" t="s">
        <v>392</v>
      </c>
      <c r="C11" s="259"/>
      <c r="D11" s="259"/>
      <c r="E11" s="259"/>
      <c r="F11" s="260"/>
      <c r="G11" s="259"/>
      <c r="H11" s="259"/>
      <c r="I11" s="259"/>
      <c r="J11" s="259"/>
      <c r="K11" s="259">
        <v>127</v>
      </c>
      <c r="L11" s="462"/>
      <c r="M11" s="259"/>
      <c r="N11" s="259"/>
      <c r="P11" s="466">
        <f t="shared" si="6"/>
        <v>127000</v>
      </c>
      <c r="Q11" s="262">
        <v>100000</v>
      </c>
      <c r="R11" s="262">
        <v>27000</v>
      </c>
    </row>
    <row r="12" spans="1:16" s="262" customFormat="1" ht="13.5" thickBot="1">
      <c r="A12" s="257"/>
      <c r="B12" s="261"/>
      <c r="C12" s="259"/>
      <c r="D12" s="259"/>
      <c r="E12" s="259"/>
      <c r="F12" s="260"/>
      <c r="G12" s="259"/>
      <c r="H12" s="259"/>
      <c r="I12" s="259"/>
      <c r="J12" s="259"/>
      <c r="K12" s="259"/>
      <c r="L12" s="462"/>
      <c r="M12" s="259"/>
      <c r="N12" s="259"/>
      <c r="P12" s="466">
        <f t="shared" si="6"/>
        <v>0</v>
      </c>
    </row>
    <row r="13" spans="1:16" ht="21" customHeight="1" thickBot="1">
      <c r="A13" s="263"/>
      <c r="B13" s="264" t="s">
        <v>216</v>
      </c>
      <c r="C13" s="265">
        <f>SUM(C4:C9)</f>
        <v>72614</v>
      </c>
      <c r="D13" s="265">
        <f>SUM(D4:D9)</f>
        <v>19605.78</v>
      </c>
      <c r="E13" s="265">
        <f>SUM(E4:E12)</f>
        <v>92219.77999999998</v>
      </c>
      <c r="F13" s="265">
        <f aca="true" t="shared" si="7" ref="F13:K13">SUM(F4:F12)</f>
        <v>30136565</v>
      </c>
      <c r="G13" s="265">
        <f t="shared" si="7"/>
        <v>2500</v>
      </c>
      <c r="H13" s="265">
        <f t="shared" si="7"/>
        <v>94719.77999999998</v>
      </c>
      <c r="I13" s="265">
        <f t="shared" si="7"/>
        <v>0</v>
      </c>
      <c r="J13" s="265">
        <f t="shared" si="7"/>
        <v>94719.77999999998</v>
      </c>
      <c r="K13" s="265">
        <f t="shared" si="7"/>
        <v>7294</v>
      </c>
      <c r="L13" s="463">
        <f t="shared" si="4"/>
        <v>0.0770060910192148</v>
      </c>
      <c r="M13" s="265">
        <f>SUM(M4:M9)</f>
        <v>0</v>
      </c>
      <c r="N13" s="265">
        <f>+J13+M13</f>
        <v>94719.77999999998</v>
      </c>
      <c r="P13" s="466">
        <f t="shared" si="6"/>
        <v>0</v>
      </c>
    </row>
    <row r="14" spans="1:16" ht="12.75">
      <c r="A14" s="266"/>
      <c r="B14" s="267" t="s">
        <v>217</v>
      </c>
      <c r="C14" s="268"/>
      <c r="D14" s="268"/>
      <c r="E14" s="268"/>
      <c r="F14" s="269"/>
      <c r="G14" s="268"/>
      <c r="H14" s="268">
        <f t="shared" si="2"/>
        <v>0</v>
      </c>
      <c r="I14" s="268"/>
      <c r="J14" s="268">
        <f t="shared" si="3"/>
        <v>0</v>
      </c>
      <c r="K14" s="268"/>
      <c r="L14" s="464"/>
      <c r="M14" s="268"/>
      <c r="N14" s="268">
        <f t="shared" si="5"/>
        <v>0</v>
      </c>
      <c r="P14" s="466">
        <f t="shared" si="6"/>
        <v>0</v>
      </c>
    </row>
    <row r="15" spans="1:19" ht="12.75">
      <c r="A15" s="257">
        <v>1</v>
      </c>
      <c r="B15" s="258" t="s">
        <v>218</v>
      </c>
      <c r="C15" s="259">
        <v>30000</v>
      </c>
      <c r="D15" s="259">
        <f aca="true" t="shared" si="8" ref="D15:D26">+C15*0.27</f>
        <v>8100.000000000001</v>
      </c>
      <c r="E15" s="259">
        <f aca="true" t="shared" si="9" ref="E15:E22">+C15+D15</f>
        <v>38100</v>
      </c>
      <c r="F15" s="260">
        <v>4211001</v>
      </c>
      <c r="G15" s="259"/>
      <c r="H15" s="259">
        <f t="shared" si="2"/>
        <v>38100</v>
      </c>
      <c r="I15" s="259"/>
      <c r="J15" s="259">
        <f t="shared" si="3"/>
        <v>38100</v>
      </c>
      <c r="K15" s="259">
        <v>367</v>
      </c>
      <c r="L15" s="462">
        <f t="shared" si="4"/>
        <v>0.00963254593175853</v>
      </c>
      <c r="M15" s="259">
        <v>5207</v>
      </c>
      <c r="N15" s="259">
        <f t="shared" si="5"/>
        <v>43307</v>
      </c>
      <c r="P15" s="466">
        <f t="shared" si="6"/>
        <v>366700</v>
      </c>
      <c r="Q15" s="253">
        <v>100000</v>
      </c>
      <c r="R15" s="253">
        <v>210000</v>
      </c>
      <c r="S15" s="253">
        <v>56700</v>
      </c>
    </row>
    <row r="16" spans="1:16" ht="12.75">
      <c r="A16" s="257">
        <v>1</v>
      </c>
      <c r="B16" s="258" t="s">
        <v>219</v>
      </c>
      <c r="C16" s="259">
        <v>1500</v>
      </c>
      <c r="D16" s="259">
        <f t="shared" si="8"/>
        <v>405</v>
      </c>
      <c r="E16" s="259">
        <f t="shared" si="9"/>
        <v>1905</v>
      </c>
      <c r="F16" s="260">
        <v>8411541</v>
      </c>
      <c r="G16" s="259"/>
      <c r="H16" s="259">
        <f t="shared" si="2"/>
        <v>1905</v>
      </c>
      <c r="I16" s="259"/>
      <c r="J16" s="259">
        <f t="shared" si="3"/>
        <v>1905</v>
      </c>
      <c r="K16" s="259"/>
      <c r="L16" s="462">
        <f t="shared" si="4"/>
        <v>0</v>
      </c>
      <c r="M16" s="259">
        <v>-1905</v>
      </c>
      <c r="N16" s="259">
        <f t="shared" si="5"/>
        <v>0</v>
      </c>
      <c r="P16" s="466">
        <f t="shared" si="6"/>
        <v>0</v>
      </c>
    </row>
    <row r="17" spans="1:16" ht="12.75">
      <c r="A17" s="257">
        <v>1</v>
      </c>
      <c r="B17" s="258" t="s">
        <v>220</v>
      </c>
      <c r="C17" s="259">
        <v>10000</v>
      </c>
      <c r="D17" s="259">
        <f t="shared" si="8"/>
        <v>2700</v>
      </c>
      <c r="E17" s="259">
        <f t="shared" si="9"/>
        <v>12700</v>
      </c>
      <c r="F17" s="260">
        <v>4211001</v>
      </c>
      <c r="G17" s="259"/>
      <c r="H17" s="259">
        <f t="shared" si="2"/>
        <v>12700</v>
      </c>
      <c r="I17" s="259"/>
      <c r="J17" s="259">
        <f t="shared" si="3"/>
        <v>12700</v>
      </c>
      <c r="K17" s="259"/>
      <c r="L17" s="462">
        <f t="shared" si="4"/>
        <v>0</v>
      </c>
      <c r="M17" s="259">
        <f>-12700+3861</f>
        <v>-8839</v>
      </c>
      <c r="N17" s="259">
        <f t="shared" si="5"/>
        <v>3861</v>
      </c>
      <c r="P17" s="466">
        <f t="shared" si="6"/>
        <v>0</v>
      </c>
    </row>
    <row r="18" spans="1:16" ht="14.25" customHeight="1">
      <c r="A18" s="257">
        <v>1</v>
      </c>
      <c r="B18" s="258" t="s">
        <v>221</v>
      </c>
      <c r="C18" s="259">
        <v>2000</v>
      </c>
      <c r="D18" s="259">
        <f t="shared" si="8"/>
        <v>540</v>
      </c>
      <c r="E18" s="259">
        <f t="shared" si="9"/>
        <v>2540</v>
      </c>
      <c r="F18" s="260">
        <v>8414031</v>
      </c>
      <c r="G18" s="259">
        <v>-1270</v>
      </c>
      <c r="H18" s="259">
        <f t="shared" si="2"/>
        <v>1270</v>
      </c>
      <c r="I18" s="259"/>
      <c r="J18" s="259">
        <f t="shared" si="3"/>
        <v>1270</v>
      </c>
      <c r="K18" s="259"/>
      <c r="L18" s="462">
        <f t="shared" si="4"/>
        <v>0</v>
      </c>
      <c r="M18" s="259"/>
      <c r="N18" s="259">
        <f t="shared" si="5"/>
        <v>1270</v>
      </c>
      <c r="P18" s="466">
        <f t="shared" si="6"/>
        <v>0</v>
      </c>
    </row>
    <row r="19" spans="1:18" ht="14.25" customHeight="1">
      <c r="A19" s="257">
        <v>1</v>
      </c>
      <c r="B19" s="258" t="s">
        <v>222</v>
      </c>
      <c r="C19" s="259">
        <v>2000</v>
      </c>
      <c r="D19" s="259">
        <f t="shared" si="8"/>
        <v>540</v>
      </c>
      <c r="E19" s="259">
        <f t="shared" si="9"/>
        <v>2540</v>
      </c>
      <c r="F19" s="260">
        <v>8414031</v>
      </c>
      <c r="G19" s="259">
        <v>1000</v>
      </c>
      <c r="H19" s="259">
        <f t="shared" si="2"/>
        <v>3540</v>
      </c>
      <c r="I19" s="259"/>
      <c r="J19" s="259">
        <f t="shared" si="3"/>
        <v>3540</v>
      </c>
      <c r="K19" s="259">
        <v>2794</v>
      </c>
      <c r="L19" s="462">
        <f t="shared" si="4"/>
        <v>0.7892655367231638</v>
      </c>
      <c r="M19" s="259"/>
      <c r="N19" s="259">
        <f t="shared" si="5"/>
        <v>3540</v>
      </c>
      <c r="P19" s="466">
        <f t="shared" si="6"/>
        <v>2794000</v>
      </c>
      <c r="Q19" s="253">
        <v>2200000</v>
      </c>
      <c r="R19" s="253">
        <v>594000</v>
      </c>
    </row>
    <row r="20" spans="1:16" ht="14.25" customHeight="1">
      <c r="A20" s="257">
        <v>1</v>
      </c>
      <c r="B20" s="258" t="s">
        <v>385</v>
      </c>
      <c r="C20" s="259">
        <v>500</v>
      </c>
      <c r="D20" s="259">
        <f t="shared" si="8"/>
        <v>135</v>
      </c>
      <c r="E20" s="259">
        <f t="shared" si="9"/>
        <v>635</v>
      </c>
      <c r="F20" s="260">
        <v>8414031</v>
      </c>
      <c r="G20" s="259"/>
      <c r="H20" s="259">
        <f t="shared" si="2"/>
        <v>635</v>
      </c>
      <c r="I20" s="259"/>
      <c r="J20" s="259">
        <f t="shared" si="3"/>
        <v>635</v>
      </c>
      <c r="K20" s="259"/>
      <c r="L20" s="462">
        <f t="shared" si="4"/>
        <v>0</v>
      </c>
      <c r="M20" s="259"/>
      <c r="N20" s="259">
        <f t="shared" si="5"/>
        <v>635</v>
      </c>
      <c r="P20" s="466">
        <f t="shared" si="6"/>
        <v>0</v>
      </c>
    </row>
    <row r="21" spans="1:16" s="262" customFormat="1" ht="12.75">
      <c r="A21" s="270">
        <v>1</v>
      </c>
      <c r="B21" s="261" t="s">
        <v>223</v>
      </c>
      <c r="C21" s="259">
        <v>2000</v>
      </c>
      <c r="D21" s="259">
        <f t="shared" si="8"/>
        <v>540</v>
      </c>
      <c r="E21" s="259">
        <f t="shared" si="9"/>
        <v>2540</v>
      </c>
      <c r="F21" s="260">
        <v>8411541</v>
      </c>
      <c r="G21" s="259"/>
      <c r="H21" s="259">
        <f t="shared" si="2"/>
        <v>2540</v>
      </c>
      <c r="I21" s="259"/>
      <c r="J21" s="259">
        <f t="shared" si="3"/>
        <v>2540</v>
      </c>
      <c r="K21" s="259"/>
      <c r="L21" s="462">
        <f t="shared" si="4"/>
        <v>0</v>
      </c>
      <c r="M21" s="259"/>
      <c r="N21" s="259">
        <f t="shared" si="5"/>
        <v>2540</v>
      </c>
      <c r="P21" s="466">
        <f t="shared" si="6"/>
        <v>0</v>
      </c>
    </row>
    <row r="22" spans="1:16" s="262" customFormat="1" ht="12.75">
      <c r="A22" s="270">
        <v>1</v>
      </c>
      <c r="B22" s="261" t="s">
        <v>224</v>
      </c>
      <c r="C22" s="259">
        <v>40315</v>
      </c>
      <c r="D22" s="259">
        <f t="shared" si="8"/>
        <v>10885.050000000001</v>
      </c>
      <c r="E22" s="259">
        <f t="shared" si="9"/>
        <v>51200.05</v>
      </c>
      <c r="F22" s="260">
        <v>8411541</v>
      </c>
      <c r="G22" s="259"/>
      <c r="H22" s="259">
        <f t="shared" si="2"/>
        <v>51200.05</v>
      </c>
      <c r="I22" s="259"/>
      <c r="J22" s="259">
        <f t="shared" si="3"/>
        <v>51200.05</v>
      </c>
      <c r="K22" s="259"/>
      <c r="L22" s="462">
        <f t="shared" si="4"/>
        <v>0</v>
      </c>
      <c r="M22" s="259">
        <v>791</v>
      </c>
      <c r="N22" s="259">
        <f t="shared" si="5"/>
        <v>51991.05</v>
      </c>
      <c r="P22" s="466">
        <f t="shared" si="6"/>
        <v>0</v>
      </c>
    </row>
    <row r="23" spans="1:16" s="262" customFormat="1" ht="12.75" hidden="1">
      <c r="A23" s="270">
        <v>2</v>
      </c>
      <c r="B23" s="261" t="s">
        <v>225</v>
      </c>
      <c r="C23" s="259"/>
      <c r="D23" s="259">
        <f t="shared" si="8"/>
        <v>0</v>
      </c>
      <c r="E23" s="259">
        <f>+C23+D23</f>
        <v>0</v>
      </c>
      <c r="F23" s="260">
        <v>8411541</v>
      </c>
      <c r="G23" s="259"/>
      <c r="H23" s="259">
        <f t="shared" si="2"/>
        <v>0</v>
      </c>
      <c r="I23" s="259"/>
      <c r="J23" s="259">
        <f t="shared" si="3"/>
        <v>0</v>
      </c>
      <c r="K23" s="259"/>
      <c r="L23" s="462" t="e">
        <f t="shared" si="4"/>
        <v>#DIV/0!</v>
      </c>
      <c r="M23" s="259"/>
      <c r="N23" s="259">
        <f t="shared" si="5"/>
        <v>0</v>
      </c>
      <c r="P23" s="466">
        <f t="shared" si="6"/>
        <v>0</v>
      </c>
    </row>
    <row r="24" spans="1:16" s="262" customFormat="1" ht="12.75" hidden="1">
      <c r="A24" s="270">
        <v>6</v>
      </c>
      <c r="B24" s="261" t="s">
        <v>226</v>
      </c>
      <c r="C24" s="259"/>
      <c r="D24" s="259">
        <f t="shared" si="8"/>
        <v>0</v>
      </c>
      <c r="E24" s="259">
        <f>+C24+D24</f>
        <v>0</v>
      </c>
      <c r="F24" s="260">
        <v>8891011</v>
      </c>
      <c r="G24" s="259"/>
      <c r="H24" s="259">
        <f t="shared" si="2"/>
        <v>0</v>
      </c>
      <c r="I24" s="259"/>
      <c r="J24" s="259">
        <f t="shared" si="3"/>
        <v>0</v>
      </c>
      <c r="K24" s="259"/>
      <c r="L24" s="462" t="e">
        <f t="shared" si="4"/>
        <v>#DIV/0!</v>
      </c>
      <c r="M24" s="259"/>
      <c r="N24" s="259">
        <f t="shared" si="5"/>
        <v>0</v>
      </c>
      <c r="P24" s="466">
        <f t="shared" si="6"/>
        <v>0</v>
      </c>
    </row>
    <row r="25" spans="1:16" s="262" customFormat="1" ht="12.75">
      <c r="A25" s="281">
        <v>1</v>
      </c>
      <c r="B25" s="282" t="s">
        <v>377</v>
      </c>
      <c r="C25" s="283"/>
      <c r="D25" s="259"/>
      <c r="E25" s="259"/>
      <c r="F25" s="284"/>
      <c r="G25" s="259"/>
      <c r="H25" s="259"/>
      <c r="I25" s="259"/>
      <c r="J25" s="259">
        <f t="shared" si="3"/>
        <v>0</v>
      </c>
      <c r="K25" s="259"/>
      <c r="L25" s="462"/>
      <c r="M25" s="259">
        <v>235199</v>
      </c>
      <c r="N25" s="259">
        <f t="shared" si="5"/>
        <v>235199</v>
      </c>
      <c r="P25" s="466">
        <f t="shared" si="6"/>
        <v>0</v>
      </c>
    </row>
    <row r="26" spans="1:16" s="262" customFormat="1" ht="12.75">
      <c r="A26" s="281">
        <v>3</v>
      </c>
      <c r="B26" s="282" t="s">
        <v>242</v>
      </c>
      <c r="C26" s="283">
        <v>945</v>
      </c>
      <c r="D26" s="259">
        <f t="shared" si="8"/>
        <v>255.15</v>
      </c>
      <c r="E26" s="259">
        <f>+C26+D26</f>
        <v>1200.15</v>
      </c>
      <c r="F26" s="284"/>
      <c r="G26" s="259"/>
      <c r="H26" s="259">
        <f>+E26+G26</f>
        <v>1200.15</v>
      </c>
      <c r="I26" s="259"/>
      <c r="J26" s="259">
        <f t="shared" si="3"/>
        <v>1200.15</v>
      </c>
      <c r="K26" s="259"/>
      <c r="L26" s="462">
        <f t="shared" si="4"/>
        <v>0</v>
      </c>
      <c r="M26" s="259"/>
      <c r="N26" s="259">
        <f t="shared" si="5"/>
        <v>1200.15</v>
      </c>
      <c r="P26" s="466">
        <f t="shared" si="6"/>
        <v>0</v>
      </c>
    </row>
    <row r="27" spans="1:18" s="262" customFormat="1" ht="12.75">
      <c r="A27" s="281">
        <v>1</v>
      </c>
      <c r="B27" s="282" t="s">
        <v>341</v>
      </c>
      <c r="C27" s="283"/>
      <c r="D27" s="283"/>
      <c r="E27" s="283"/>
      <c r="F27" s="284"/>
      <c r="G27" s="283">
        <v>3094</v>
      </c>
      <c r="H27" s="259">
        <f>+E27+G27</f>
        <v>3094</v>
      </c>
      <c r="I27" s="283"/>
      <c r="J27" s="259">
        <f t="shared" si="3"/>
        <v>3094</v>
      </c>
      <c r="K27" s="259">
        <v>3094</v>
      </c>
      <c r="L27" s="462">
        <f t="shared" si="4"/>
        <v>1</v>
      </c>
      <c r="M27" s="283"/>
      <c r="N27" s="283">
        <f t="shared" si="5"/>
        <v>3094</v>
      </c>
      <c r="P27" s="466">
        <f t="shared" si="6"/>
        <v>3093750</v>
      </c>
      <c r="Q27" s="262">
        <v>2475000</v>
      </c>
      <c r="R27" s="262">
        <v>618750</v>
      </c>
    </row>
    <row r="28" spans="1:16" s="262" customFormat="1" ht="12.75">
      <c r="A28" s="281">
        <v>1</v>
      </c>
      <c r="B28" s="282" t="s">
        <v>378</v>
      </c>
      <c r="C28" s="283"/>
      <c r="D28" s="283"/>
      <c r="E28" s="283"/>
      <c r="F28" s="284"/>
      <c r="G28" s="283"/>
      <c r="H28" s="283"/>
      <c r="I28" s="283"/>
      <c r="J28" s="283">
        <f t="shared" si="3"/>
        <v>0</v>
      </c>
      <c r="K28" s="283"/>
      <c r="L28" s="465"/>
      <c r="M28" s="283">
        <v>131</v>
      </c>
      <c r="N28" s="283">
        <f t="shared" si="5"/>
        <v>131</v>
      </c>
      <c r="P28" s="466">
        <f t="shared" si="6"/>
        <v>0</v>
      </c>
    </row>
    <row r="29" spans="1:16" s="262" customFormat="1" ht="12.75">
      <c r="A29" s="281">
        <v>1</v>
      </c>
      <c r="B29" s="282" t="s">
        <v>379</v>
      </c>
      <c r="C29" s="283"/>
      <c r="D29" s="283"/>
      <c r="E29" s="283"/>
      <c r="F29" s="284"/>
      <c r="G29" s="283"/>
      <c r="H29" s="283"/>
      <c r="I29" s="283"/>
      <c r="J29" s="283">
        <f t="shared" si="3"/>
        <v>0</v>
      </c>
      <c r="K29" s="283"/>
      <c r="L29" s="465"/>
      <c r="M29" s="283">
        <v>345</v>
      </c>
      <c r="N29" s="283">
        <f t="shared" si="5"/>
        <v>345</v>
      </c>
      <c r="P29" s="466">
        <f t="shared" si="6"/>
        <v>0</v>
      </c>
    </row>
    <row r="30" spans="1:16" s="262" customFormat="1" ht="12.75">
      <c r="A30" s="281">
        <v>1</v>
      </c>
      <c r="B30" s="282" t="s">
        <v>380</v>
      </c>
      <c r="C30" s="283"/>
      <c r="D30" s="283"/>
      <c r="E30" s="283"/>
      <c r="F30" s="284"/>
      <c r="G30" s="283">
        <v>2000</v>
      </c>
      <c r="H30" s="259">
        <f>+E30+G30</f>
        <v>2000</v>
      </c>
      <c r="I30" s="283"/>
      <c r="J30" s="259">
        <f t="shared" si="3"/>
        <v>2000</v>
      </c>
      <c r="K30" s="259"/>
      <c r="L30" s="462">
        <f t="shared" si="4"/>
        <v>0</v>
      </c>
      <c r="M30" s="283"/>
      <c r="N30" s="283">
        <f t="shared" si="5"/>
        <v>2000</v>
      </c>
      <c r="P30" s="466">
        <f t="shared" si="6"/>
        <v>0</v>
      </c>
    </row>
    <row r="31" spans="1:16" s="262" customFormat="1" ht="12.75">
      <c r="A31" s="281">
        <v>1</v>
      </c>
      <c r="B31" s="282" t="s">
        <v>376</v>
      </c>
      <c r="C31" s="283"/>
      <c r="D31" s="283"/>
      <c r="E31" s="283"/>
      <c r="F31" s="284"/>
      <c r="G31" s="283"/>
      <c r="H31" s="283"/>
      <c r="I31" s="283"/>
      <c r="J31" s="283">
        <f t="shared" si="3"/>
        <v>0</v>
      </c>
      <c r="K31" s="283"/>
      <c r="L31" s="465"/>
      <c r="M31" s="283">
        <v>3268</v>
      </c>
      <c r="N31" s="283">
        <f t="shared" si="5"/>
        <v>3268</v>
      </c>
      <c r="P31" s="466">
        <f t="shared" si="6"/>
        <v>0</v>
      </c>
    </row>
    <row r="32" spans="1:18" s="262" customFormat="1" ht="12.75">
      <c r="A32" s="281"/>
      <c r="B32" s="282" t="s">
        <v>386</v>
      </c>
      <c r="C32" s="283"/>
      <c r="D32" s="283"/>
      <c r="E32" s="283"/>
      <c r="F32" s="284"/>
      <c r="G32" s="283"/>
      <c r="H32" s="283"/>
      <c r="I32" s="283"/>
      <c r="J32" s="283"/>
      <c r="K32" s="283">
        <v>94</v>
      </c>
      <c r="L32" s="465"/>
      <c r="M32" s="283"/>
      <c r="N32" s="283"/>
      <c r="P32" s="466">
        <f t="shared" si="6"/>
        <v>93535</v>
      </c>
      <c r="Q32" s="262">
        <v>73650</v>
      </c>
      <c r="R32" s="262">
        <v>19885</v>
      </c>
    </row>
    <row r="33" spans="1:18" s="262" customFormat="1" ht="12.75">
      <c r="A33" s="281"/>
      <c r="B33" s="282" t="s">
        <v>387</v>
      </c>
      <c r="C33" s="283"/>
      <c r="D33" s="283"/>
      <c r="E33" s="283"/>
      <c r="F33" s="284"/>
      <c r="G33" s="283"/>
      <c r="H33" s="283"/>
      <c r="I33" s="283"/>
      <c r="J33" s="283"/>
      <c r="K33" s="283">
        <v>1968</v>
      </c>
      <c r="L33" s="465"/>
      <c r="M33" s="283"/>
      <c r="N33" s="283"/>
      <c r="P33" s="466">
        <f t="shared" si="6"/>
        <v>1968500</v>
      </c>
      <c r="Q33" s="262">
        <v>1550000</v>
      </c>
      <c r="R33" s="262">
        <v>418500</v>
      </c>
    </row>
    <row r="34" spans="1:18" s="262" customFormat="1" ht="12.75">
      <c r="A34" s="281"/>
      <c r="B34" s="282" t="s">
        <v>388</v>
      </c>
      <c r="C34" s="283"/>
      <c r="D34" s="283"/>
      <c r="E34" s="283"/>
      <c r="F34" s="284"/>
      <c r="G34" s="283"/>
      <c r="H34" s="283"/>
      <c r="I34" s="283"/>
      <c r="J34" s="283"/>
      <c r="K34" s="283">
        <v>2286</v>
      </c>
      <c r="L34" s="465"/>
      <c r="M34" s="283"/>
      <c r="N34" s="283"/>
      <c r="P34" s="466">
        <f t="shared" si="6"/>
        <v>2286000</v>
      </c>
      <c r="Q34" s="262">
        <v>1800000</v>
      </c>
      <c r="R34" s="262">
        <v>486000</v>
      </c>
    </row>
    <row r="35" spans="1:18" s="262" customFormat="1" ht="12.75">
      <c r="A35" s="281"/>
      <c r="B35" s="282" t="s">
        <v>389</v>
      </c>
      <c r="C35" s="283"/>
      <c r="D35" s="283"/>
      <c r="E35" s="283"/>
      <c r="F35" s="284"/>
      <c r="G35" s="283"/>
      <c r="H35" s="283"/>
      <c r="I35" s="283"/>
      <c r="J35" s="283"/>
      <c r="K35" s="283">
        <v>621</v>
      </c>
      <c r="L35" s="465"/>
      <c r="M35" s="283"/>
      <c r="N35" s="283"/>
      <c r="P35" s="466">
        <f t="shared" si="6"/>
        <v>621030</v>
      </c>
      <c r="Q35" s="262">
        <v>489000</v>
      </c>
      <c r="R35" s="262">
        <v>132030</v>
      </c>
    </row>
    <row r="36" spans="1:18" s="262" customFormat="1" ht="12.75">
      <c r="A36" s="281"/>
      <c r="B36" s="282" t="s">
        <v>390</v>
      </c>
      <c r="C36" s="283"/>
      <c r="D36" s="283"/>
      <c r="E36" s="283"/>
      <c r="F36" s="284"/>
      <c r="G36" s="283"/>
      <c r="H36" s="283"/>
      <c r="I36" s="283"/>
      <c r="J36" s="283"/>
      <c r="K36" s="283">
        <v>2693</v>
      </c>
      <c r="L36" s="465"/>
      <c r="M36" s="283"/>
      <c r="N36" s="283"/>
      <c r="P36" s="466">
        <f t="shared" si="6"/>
        <v>2692902</v>
      </c>
      <c r="Q36" s="262">
        <v>2120395</v>
      </c>
      <c r="R36" s="262">
        <v>572507</v>
      </c>
    </row>
    <row r="37" spans="1:16" s="262" customFormat="1" ht="12.75">
      <c r="A37" s="281"/>
      <c r="B37" s="282"/>
      <c r="C37" s="283"/>
      <c r="D37" s="283"/>
      <c r="E37" s="283"/>
      <c r="F37" s="284"/>
      <c r="G37" s="283"/>
      <c r="H37" s="283"/>
      <c r="I37" s="283"/>
      <c r="J37" s="283"/>
      <c r="K37" s="283"/>
      <c r="L37" s="465"/>
      <c r="M37" s="283"/>
      <c r="N37" s="283"/>
      <c r="P37" s="466">
        <f t="shared" si="6"/>
        <v>0</v>
      </c>
    </row>
    <row r="38" spans="1:16" s="262" customFormat="1" ht="12.75">
      <c r="A38" s="281"/>
      <c r="B38" s="282"/>
      <c r="C38" s="283"/>
      <c r="D38" s="283"/>
      <c r="E38" s="283"/>
      <c r="F38" s="284"/>
      <c r="G38" s="283"/>
      <c r="H38" s="283"/>
      <c r="I38" s="283"/>
      <c r="J38" s="283"/>
      <c r="K38" s="283"/>
      <c r="L38" s="465"/>
      <c r="M38" s="283"/>
      <c r="N38" s="283"/>
      <c r="P38" s="466">
        <f t="shared" si="6"/>
        <v>0</v>
      </c>
    </row>
    <row r="39" spans="1:16" s="262" customFormat="1" ht="13.5" thickBot="1">
      <c r="A39" s="281"/>
      <c r="B39" s="282"/>
      <c r="C39" s="283"/>
      <c r="D39" s="283"/>
      <c r="E39" s="283"/>
      <c r="F39" s="284"/>
      <c r="G39" s="283"/>
      <c r="H39" s="283"/>
      <c r="I39" s="283"/>
      <c r="J39" s="283"/>
      <c r="K39" s="283"/>
      <c r="L39" s="465"/>
      <c r="M39" s="283"/>
      <c r="N39" s="283"/>
      <c r="P39" s="466">
        <f t="shared" si="6"/>
        <v>0</v>
      </c>
    </row>
    <row r="40" spans="1:16" ht="13.5" thickBot="1">
      <c r="A40" s="540"/>
      <c r="B40" s="541" t="s">
        <v>227</v>
      </c>
      <c r="C40" s="265">
        <f>SUM(C15:C31)</f>
        <v>89260</v>
      </c>
      <c r="D40" s="265">
        <f>SUM(D15:D31)</f>
        <v>24100.200000000004</v>
      </c>
      <c r="E40" s="265">
        <f aca="true" t="shared" si="10" ref="E40:K40">SUM(E15:E39)</f>
        <v>113360.2</v>
      </c>
      <c r="F40" s="265">
        <f t="shared" si="10"/>
        <v>76201270</v>
      </c>
      <c r="G40" s="265">
        <f t="shared" si="10"/>
        <v>4824</v>
      </c>
      <c r="H40" s="265">
        <f t="shared" si="10"/>
        <v>118184.2</v>
      </c>
      <c r="I40" s="265">
        <f t="shared" si="10"/>
        <v>0</v>
      </c>
      <c r="J40" s="265">
        <f t="shared" si="10"/>
        <v>118184.2</v>
      </c>
      <c r="K40" s="265">
        <f t="shared" si="10"/>
        <v>13917</v>
      </c>
      <c r="L40" s="542">
        <f t="shared" si="4"/>
        <v>0.11775685751564084</v>
      </c>
      <c r="M40" s="265">
        <f>SUM(M15:M39)</f>
        <v>234197</v>
      </c>
      <c r="N40" s="265">
        <f t="shared" si="5"/>
        <v>352381.2</v>
      </c>
      <c r="P40" s="466">
        <f t="shared" si="6"/>
        <v>0</v>
      </c>
    </row>
    <row r="41" spans="1:16" ht="30" customHeight="1" thickBot="1">
      <c r="A41" s="263"/>
      <c r="B41" s="271" t="s">
        <v>228</v>
      </c>
      <c r="C41" s="265">
        <f>C13+C40</f>
        <v>161874</v>
      </c>
      <c r="D41" s="265">
        <f>D13+D40</f>
        <v>43705.98</v>
      </c>
      <c r="E41" s="265">
        <f>E13+E40</f>
        <v>205579.97999999998</v>
      </c>
      <c r="F41" s="265">
        <f>F13+F40</f>
        <v>106337835</v>
      </c>
      <c r="G41" s="265">
        <f>G13+G40</f>
        <v>7324</v>
      </c>
      <c r="H41" s="265">
        <f>+E41+G41</f>
        <v>212903.97999999998</v>
      </c>
      <c r="I41" s="265">
        <f>I13+I40</f>
        <v>0</v>
      </c>
      <c r="J41" s="265">
        <f t="shared" si="3"/>
        <v>212903.97999999998</v>
      </c>
      <c r="K41" s="265">
        <f>+K13+K40</f>
        <v>21211</v>
      </c>
      <c r="L41" s="463">
        <f t="shared" si="4"/>
        <v>0.0996270713210716</v>
      </c>
      <c r="M41" s="265">
        <f>M13+M40</f>
        <v>234197</v>
      </c>
      <c r="N41" s="265">
        <f t="shared" si="5"/>
        <v>447100.98</v>
      </c>
      <c r="P41" s="466">
        <f>SUM(P4:P40)</f>
        <v>21210779</v>
      </c>
    </row>
    <row r="47" ht="12.75">
      <c r="B47" s="253" t="s">
        <v>229</v>
      </c>
    </row>
  </sheetData>
  <mergeCells count="1">
    <mergeCell ref="C1:E1"/>
  </mergeCells>
  <printOptions horizontalCentered="1"/>
  <pageMargins left="0.2362204724409449" right="0.2362204724409449" top="1.72" bottom="0.984251968503937" header="0.7086614173228347" footer="0.5118110236220472"/>
  <pageSetup fitToHeight="1" fitToWidth="1" horizontalDpi="600" verticalDpi="600" orientation="landscape" paperSize="9" scale="69" r:id="rId1"/>
  <headerFooter alignWithMargins="0">
    <oddHeader>&amp;L4.2.sz.melléklet&amp;C&amp;"Arial,Félkövér"Nagykovácsi Önkormányzat
 2012. évi költségvetésének felújítási előirányzatai célonként, 
felhalmozási előirányzatai feladatonként
&amp;Radatok eFt-ban</oddHeader>
    <oddFooter>&amp;L&amp;D&amp;C&amp;P&amp;R&amp;F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N36"/>
  <sheetViews>
    <sheetView workbookViewId="0" topLeftCell="A1">
      <selection activeCell="T23" sqref="T23"/>
    </sheetView>
  </sheetViews>
  <sheetFormatPr defaultColWidth="9.140625" defaultRowHeight="12.75"/>
  <cols>
    <col min="1" max="1" width="8.140625" style="2" customWidth="1"/>
    <col min="2" max="2" width="68.421875" style="2" bestFit="1" customWidth="1"/>
    <col min="3" max="3" width="13.7109375" style="2" hidden="1" customWidth="1"/>
    <col min="4" max="5" width="13.7109375" style="2" customWidth="1"/>
    <col min="6" max="6" width="15.140625" style="2" bestFit="1" customWidth="1"/>
    <col min="7" max="7" width="13.7109375" style="2" customWidth="1"/>
    <col min="8" max="8" width="16.7109375" style="2" bestFit="1" customWidth="1"/>
    <col min="9" max="10" width="16.7109375" style="2" customWidth="1"/>
    <col min="11" max="11" width="13.7109375" style="2" hidden="1" customWidth="1"/>
    <col min="12" max="12" width="16.7109375" style="2" hidden="1" customWidth="1"/>
    <col min="13" max="14" width="15.140625" style="2" hidden="1" customWidth="1"/>
    <col min="15" max="16384" width="9.140625" style="2" customWidth="1"/>
  </cols>
  <sheetData>
    <row r="1" ht="23.25" customHeight="1"/>
    <row r="2" ht="33.75" customHeight="1" thickBot="1">
      <c r="B2" s="1"/>
    </row>
    <row r="3" spans="1:14" s="276" customFormat="1" ht="12.75">
      <c r="A3" s="287" t="s">
        <v>230</v>
      </c>
      <c r="B3" s="288" t="s">
        <v>231</v>
      </c>
      <c r="C3" s="289" t="s">
        <v>232</v>
      </c>
      <c r="D3" s="290" t="s">
        <v>238</v>
      </c>
      <c r="E3" s="290" t="s">
        <v>337</v>
      </c>
      <c r="F3" s="290" t="s">
        <v>342</v>
      </c>
      <c r="G3" s="290" t="s">
        <v>381</v>
      </c>
      <c r="H3" s="290" t="s">
        <v>395</v>
      </c>
      <c r="I3" s="480" t="s">
        <v>396</v>
      </c>
      <c r="J3" s="480" t="s">
        <v>397</v>
      </c>
      <c r="K3" s="290" t="s">
        <v>352</v>
      </c>
      <c r="L3" s="290" t="s">
        <v>353</v>
      </c>
      <c r="M3" s="290" t="s">
        <v>349</v>
      </c>
      <c r="N3" s="290" t="s">
        <v>210</v>
      </c>
    </row>
    <row r="4" spans="1:14" s="276" customFormat="1" ht="13.5" thickBot="1">
      <c r="A4" s="304"/>
      <c r="B4" s="293"/>
      <c r="C4" s="305" t="s">
        <v>233</v>
      </c>
      <c r="D4" s="306" t="s">
        <v>239</v>
      </c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s="276" customFormat="1" ht="12.75">
      <c r="A5" s="300">
        <v>1</v>
      </c>
      <c r="B5" s="301" t="s">
        <v>234</v>
      </c>
      <c r="C5" s="302"/>
      <c r="D5" s="303">
        <v>1000</v>
      </c>
      <c r="E5" s="303"/>
      <c r="F5" s="303">
        <f>+D5+E5</f>
        <v>1000</v>
      </c>
      <c r="G5" s="303"/>
      <c r="H5" s="303">
        <f aca="true" t="shared" si="0" ref="H5:H26">+F5+G5</f>
        <v>1000</v>
      </c>
      <c r="I5" s="303">
        <v>1000</v>
      </c>
      <c r="J5" s="471">
        <f>+I5/H5</f>
        <v>1</v>
      </c>
      <c r="K5" s="303"/>
      <c r="L5" s="303">
        <f aca="true" t="shared" si="1" ref="L5:L27">+H5+K5</f>
        <v>1000</v>
      </c>
      <c r="M5" s="303"/>
      <c r="N5" s="303"/>
    </row>
    <row r="6" spans="1:14" s="276" customFormat="1" ht="12.75" customHeight="1">
      <c r="A6" s="291">
        <v>2</v>
      </c>
      <c r="B6" s="285" t="s">
        <v>244</v>
      </c>
      <c r="C6" s="277"/>
      <c r="D6" s="292">
        <v>2600</v>
      </c>
      <c r="E6" s="292"/>
      <c r="F6" s="303">
        <f aca="true" t="shared" si="2" ref="F6:F26">+D6+E6</f>
        <v>2600</v>
      </c>
      <c r="G6" s="292"/>
      <c r="H6" s="292">
        <f t="shared" si="0"/>
        <v>2600</v>
      </c>
      <c r="I6" s="292">
        <v>1279</v>
      </c>
      <c r="J6" s="472">
        <f aca="true" t="shared" si="3" ref="J6:J36">+I6/H6</f>
        <v>0.4919230769230769</v>
      </c>
      <c r="K6" s="292"/>
      <c r="L6" s="292">
        <f t="shared" si="1"/>
        <v>2600</v>
      </c>
      <c r="M6" s="303"/>
      <c r="N6" s="303"/>
    </row>
    <row r="7" spans="1:14" s="278" customFormat="1" ht="12.75">
      <c r="A7" s="291">
        <v>3</v>
      </c>
      <c r="B7" s="279" t="s">
        <v>236</v>
      </c>
      <c r="C7" s="286"/>
      <c r="D7" s="292">
        <v>1000</v>
      </c>
      <c r="E7" s="292"/>
      <c r="F7" s="303">
        <f t="shared" si="2"/>
        <v>1000</v>
      </c>
      <c r="G7" s="292"/>
      <c r="H7" s="292">
        <f t="shared" si="0"/>
        <v>1000</v>
      </c>
      <c r="I7" s="292">
        <v>500</v>
      </c>
      <c r="J7" s="472">
        <f t="shared" si="3"/>
        <v>0.5</v>
      </c>
      <c r="K7" s="292"/>
      <c r="L7" s="292">
        <f t="shared" si="1"/>
        <v>1000</v>
      </c>
      <c r="M7" s="303"/>
      <c r="N7" s="303"/>
    </row>
    <row r="8" spans="1:14" s="278" customFormat="1" ht="12.75" customHeight="1">
      <c r="A8" s="291">
        <v>4</v>
      </c>
      <c r="B8" s="279" t="s">
        <v>237</v>
      </c>
      <c r="C8" s="286"/>
      <c r="D8" s="292">
        <v>1000</v>
      </c>
      <c r="E8" s="292"/>
      <c r="F8" s="303">
        <f t="shared" si="2"/>
        <v>1000</v>
      </c>
      <c r="G8" s="292"/>
      <c r="H8" s="292">
        <f t="shared" si="0"/>
        <v>1000</v>
      </c>
      <c r="I8" s="292">
        <v>500</v>
      </c>
      <c r="J8" s="472">
        <f t="shared" si="3"/>
        <v>0.5</v>
      </c>
      <c r="K8" s="292"/>
      <c r="L8" s="292">
        <f t="shared" si="1"/>
        <v>1000</v>
      </c>
      <c r="M8" s="303"/>
      <c r="N8" s="303"/>
    </row>
    <row r="9" spans="1:14" s="278" customFormat="1" ht="12.75" customHeight="1">
      <c r="A9" s="291">
        <v>5</v>
      </c>
      <c r="B9" s="279" t="s">
        <v>315</v>
      </c>
      <c r="C9" s="286"/>
      <c r="D9" s="292"/>
      <c r="E9" s="292">
        <v>100</v>
      </c>
      <c r="F9" s="303">
        <f t="shared" si="2"/>
        <v>100</v>
      </c>
      <c r="G9" s="292"/>
      <c r="H9" s="292">
        <f t="shared" si="0"/>
        <v>100</v>
      </c>
      <c r="I9" s="292">
        <v>100</v>
      </c>
      <c r="J9" s="472">
        <f t="shared" si="3"/>
        <v>1</v>
      </c>
      <c r="K9" s="292"/>
      <c r="L9" s="292">
        <f t="shared" si="1"/>
        <v>100</v>
      </c>
      <c r="M9" s="303"/>
      <c r="N9" s="303"/>
    </row>
    <row r="10" spans="1:14" s="278" customFormat="1" ht="12.75" customHeight="1">
      <c r="A10" s="294">
        <v>6</v>
      </c>
      <c r="B10" s="295" t="s">
        <v>316</v>
      </c>
      <c r="C10" s="449"/>
      <c r="D10" s="450"/>
      <c r="E10" s="450">
        <v>400</v>
      </c>
      <c r="F10" s="303">
        <f t="shared" si="2"/>
        <v>400</v>
      </c>
      <c r="G10" s="450"/>
      <c r="H10" s="450">
        <f t="shared" si="0"/>
        <v>400</v>
      </c>
      <c r="I10" s="450">
        <v>400</v>
      </c>
      <c r="J10" s="473">
        <f t="shared" si="3"/>
        <v>1</v>
      </c>
      <c r="K10" s="450"/>
      <c r="L10" s="450">
        <f t="shared" si="1"/>
        <v>400</v>
      </c>
      <c r="M10" s="303"/>
      <c r="N10" s="303"/>
    </row>
    <row r="11" spans="1:14" s="278" customFormat="1" ht="12.75" customHeight="1">
      <c r="A11" s="294">
        <v>7</v>
      </c>
      <c r="B11" s="295" t="s">
        <v>317</v>
      </c>
      <c r="C11" s="449"/>
      <c r="D11" s="450"/>
      <c r="E11" s="450">
        <v>350</v>
      </c>
      <c r="F11" s="303">
        <f t="shared" si="2"/>
        <v>350</v>
      </c>
      <c r="G11" s="450"/>
      <c r="H11" s="450">
        <f t="shared" si="0"/>
        <v>350</v>
      </c>
      <c r="I11" s="450">
        <v>350</v>
      </c>
      <c r="J11" s="473">
        <f t="shared" si="3"/>
        <v>1</v>
      </c>
      <c r="K11" s="450"/>
      <c r="L11" s="450">
        <f t="shared" si="1"/>
        <v>350</v>
      </c>
      <c r="M11" s="303"/>
      <c r="N11" s="303"/>
    </row>
    <row r="12" spans="1:14" s="278" customFormat="1" ht="12.75" customHeight="1">
      <c r="A12" s="294">
        <v>8</v>
      </c>
      <c r="B12" s="295" t="s">
        <v>318</v>
      </c>
      <c r="C12" s="449"/>
      <c r="D12" s="450"/>
      <c r="E12" s="450">
        <f>112+100+250</f>
        <v>462</v>
      </c>
      <c r="F12" s="303">
        <f t="shared" si="2"/>
        <v>462</v>
      </c>
      <c r="G12" s="450"/>
      <c r="H12" s="450">
        <f t="shared" si="0"/>
        <v>462</v>
      </c>
      <c r="I12" s="450">
        <f>250+112+100</f>
        <v>462</v>
      </c>
      <c r="J12" s="473">
        <f t="shared" si="3"/>
        <v>1</v>
      </c>
      <c r="K12" s="450"/>
      <c r="L12" s="450">
        <f t="shared" si="1"/>
        <v>462</v>
      </c>
      <c r="M12" s="303"/>
      <c r="N12" s="303"/>
    </row>
    <row r="13" spans="1:14" s="278" customFormat="1" ht="12.75" customHeight="1">
      <c r="A13" s="294">
        <v>9</v>
      </c>
      <c r="B13" s="295" t="s">
        <v>319</v>
      </c>
      <c r="C13" s="449"/>
      <c r="D13" s="450"/>
      <c r="E13" s="450">
        <f>675+400+400</f>
        <v>1475</v>
      </c>
      <c r="F13" s="303">
        <f t="shared" si="2"/>
        <v>1475</v>
      </c>
      <c r="G13" s="450"/>
      <c r="H13" s="450">
        <f t="shared" si="0"/>
        <v>1475</v>
      </c>
      <c r="I13" s="450">
        <f>675+400+400</f>
        <v>1475</v>
      </c>
      <c r="J13" s="473">
        <f t="shared" si="3"/>
        <v>1</v>
      </c>
      <c r="K13" s="450"/>
      <c r="L13" s="450">
        <f t="shared" si="1"/>
        <v>1475</v>
      </c>
      <c r="M13" s="303"/>
      <c r="N13" s="303"/>
    </row>
    <row r="14" spans="1:14" s="278" customFormat="1" ht="12.75" customHeight="1">
      <c r="A14" s="294">
        <v>10</v>
      </c>
      <c r="B14" s="295" t="s">
        <v>320</v>
      </c>
      <c r="C14" s="449"/>
      <c r="D14" s="450"/>
      <c r="E14" s="450">
        <v>200</v>
      </c>
      <c r="F14" s="303">
        <f t="shared" si="2"/>
        <v>200</v>
      </c>
      <c r="G14" s="450"/>
      <c r="H14" s="450">
        <f t="shared" si="0"/>
        <v>200</v>
      </c>
      <c r="I14" s="450">
        <v>200</v>
      </c>
      <c r="J14" s="473">
        <f t="shared" si="3"/>
        <v>1</v>
      </c>
      <c r="K14" s="450"/>
      <c r="L14" s="450">
        <f t="shared" si="1"/>
        <v>200</v>
      </c>
      <c r="M14" s="303"/>
      <c r="N14" s="303"/>
    </row>
    <row r="15" spans="1:14" s="278" customFormat="1" ht="12.75" customHeight="1">
      <c r="A15" s="294">
        <v>11</v>
      </c>
      <c r="B15" s="295" t="s">
        <v>321</v>
      </c>
      <c r="C15" s="449"/>
      <c r="D15" s="450"/>
      <c r="E15" s="450">
        <v>400</v>
      </c>
      <c r="F15" s="303">
        <f t="shared" si="2"/>
        <v>400</v>
      </c>
      <c r="G15" s="450"/>
      <c r="H15" s="450">
        <f t="shared" si="0"/>
        <v>400</v>
      </c>
      <c r="I15" s="450">
        <v>400</v>
      </c>
      <c r="J15" s="473">
        <f t="shared" si="3"/>
        <v>1</v>
      </c>
      <c r="K15" s="450"/>
      <c r="L15" s="450">
        <f t="shared" si="1"/>
        <v>400</v>
      </c>
      <c r="M15" s="303"/>
      <c r="N15" s="303"/>
    </row>
    <row r="16" spans="1:14" s="278" customFormat="1" ht="12.75" customHeight="1">
      <c r="A16" s="294">
        <v>12</v>
      </c>
      <c r="B16" s="295" t="s">
        <v>322</v>
      </c>
      <c r="C16" s="449"/>
      <c r="D16" s="450">
        <f>4000-D9-D10-D11-D12-D13-D14-D15</f>
        <v>4000</v>
      </c>
      <c r="E16" s="450">
        <f>-SUM(E9:E15)</f>
        <v>-3387</v>
      </c>
      <c r="F16" s="303">
        <f t="shared" si="2"/>
        <v>613</v>
      </c>
      <c r="G16" s="450"/>
      <c r="H16" s="450">
        <f t="shared" si="0"/>
        <v>613</v>
      </c>
      <c r="I16" s="450"/>
      <c r="J16" s="473">
        <f t="shared" si="3"/>
        <v>0</v>
      </c>
      <c r="K16" s="450">
        <f>-120-25-400</f>
        <v>-545</v>
      </c>
      <c r="L16" s="450">
        <f t="shared" si="1"/>
        <v>68</v>
      </c>
      <c r="M16" s="303"/>
      <c r="N16" s="303"/>
    </row>
    <row r="17" spans="1:14" s="278" customFormat="1" ht="12.75" customHeight="1">
      <c r="A17" s="294">
        <v>13</v>
      </c>
      <c r="B17" s="295" t="s">
        <v>311</v>
      </c>
      <c r="C17" s="449"/>
      <c r="D17" s="450">
        <v>500</v>
      </c>
      <c r="E17" s="450"/>
      <c r="F17" s="303">
        <f t="shared" si="2"/>
        <v>500</v>
      </c>
      <c r="G17" s="450"/>
      <c r="H17" s="450">
        <f t="shared" si="0"/>
        <v>500</v>
      </c>
      <c r="I17" s="450">
        <v>500</v>
      </c>
      <c r="J17" s="473">
        <f t="shared" si="3"/>
        <v>1</v>
      </c>
      <c r="K17" s="450"/>
      <c r="L17" s="450">
        <f t="shared" si="1"/>
        <v>500</v>
      </c>
      <c r="M17" s="303"/>
      <c r="N17" s="303"/>
    </row>
    <row r="18" spans="1:14" s="278" customFormat="1" ht="12.75" customHeight="1">
      <c r="A18" s="294">
        <v>14</v>
      </c>
      <c r="B18" s="295" t="s">
        <v>312</v>
      </c>
      <c r="C18" s="449"/>
      <c r="D18" s="450">
        <v>500</v>
      </c>
      <c r="E18" s="450"/>
      <c r="F18" s="303">
        <f t="shared" si="2"/>
        <v>500</v>
      </c>
      <c r="G18" s="450"/>
      <c r="H18" s="450">
        <f t="shared" si="0"/>
        <v>500</v>
      </c>
      <c r="I18" s="450">
        <v>500</v>
      </c>
      <c r="J18" s="473">
        <f t="shared" si="3"/>
        <v>1</v>
      </c>
      <c r="K18" s="450"/>
      <c r="L18" s="450">
        <f t="shared" si="1"/>
        <v>500</v>
      </c>
      <c r="M18" s="303"/>
      <c r="N18" s="303"/>
    </row>
    <row r="19" spans="1:14" s="278" customFormat="1" ht="12.75" customHeight="1">
      <c r="A19" s="294">
        <v>15</v>
      </c>
      <c r="B19" s="295" t="s">
        <v>408</v>
      </c>
      <c r="C19" s="449"/>
      <c r="D19" s="450">
        <f>+'[1]2.sz. Szakfeladat összesítő'!$AK$30</f>
        <v>1270</v>
      </c>
      <c r="E19" s="450"/>
      <c r="F19" s="303">
        <f t="shared" si="2"/>
        <v>1270</v>
      </c>
      <c r="G19" s="450"/>
      <c r="H19" s="450">
        <f t="shared" si="0"/>
        <v>1270</v>
      </c>
      <c r="I19" s="450">
        <f>635-170</f>
        <v>465</v>
      </c>
      <c r="J19" s="473">
        <f t="shared" si="3"/>
        <v>0.3661417322834646</v>
      </c>
      <c r="K19" s="450"/>
      <c r="L19" s="450">
        <f t="shared" si="1"/>
        <v>1270</v>
      </c>
      <c r="M19" s="303">
        <v>38115</v>
      </c>
      <c r="N19" s="303">
        <v>9312065</v>
      </c>
    </row>
    <row r="20" spans="1:14" s="278" customFormat="1" ht="12.75" customHeight="1">
      <c r="A20" s="294">
        <v>16</v>
      </c>
      <c r="B20" s="295" t="s">
        <v>325</v>
      </c>
      <c r="C20" s="449"/>
      <c r="D20" s="450"/>
      <c r="E20" s="450">
        <v>254</v>
      </c>
      <c r="F20" s="303">
        <f t="shared" si="2"/>
        <v>254</v>
      </c>
      <c r="G20" s="450"/>
      <c r="H20" s="450">
        <f t="shared" si="0"/>
        <v>254</v>
      </c>
      <c r="I20" s="450"/>
      <c r="J20" s="473">
        <f t="shared" si="3"/>
        <v>0</v>
      </c>
      <c r="K20" s="450"/>
      <c r="L20" s="450">
        <f t="shared" si="1"/>
        <v>254</v>
      </c>
      <c r="M20" s="303">
        <v>38115</v>
      </c>
      <c r="N20" s="303">
        <v>8411121</v>
      </c>
    </row>
    <row r="21" spans="1:14" s="278" customFormat="1" ht="12.75" customHeight="1">
      <c r="A21" s="294">
        <v>17</v>
      </c>
      <c r="B21" s="295" t="s">
        <v>350</v>
      </c>
      <c r="C21" s="449"/>
      <c r="D21" s="450"/>
      <c r="E21" s="450"/>
      <c r="F21" s="303"/>
      <c r="G21" s="450"/>
      <c r="H21" s="450">
        <f t="shared" si="0"/>
        <v>0</v>
      </c>
      <c r="I21" s="450"/>
      <c r="J21" s="473"/>
      <c r="K21" s="450">
        <v>120</v>
      </c>
      <c r="L21" s="450">
        <f t="shared" si="1"/>
        <v>120</v>
      </c>
      <c r="M21" s="303"/>
      <c r="N21" s="303"/>
    </row>
    <row r="22" spans="1:14" s="278" customFormat="1" ht="12.75" customHeight="1">
      <c r="A22" s="294">
        <v>18</v>
      </c>
      <c r="B22" s="295" t="s">
        <v>351</v>
      </c>
      <c r="C22" s="449"/>
      <c r="D22" s="450"/>
      <c r="E22" s="450"/>
      <c r="F22" s="303"/>
      <c r="G22" s="450"/>
      <c r="H22" s="450">
        <f t="shared" si="0"/>
        <v>0</v>
      </c>
      <c r="I22" s="450"/>
      <c r="J22" s="473"/>
      <c r="K22" s="450">
        <v>25</v>
      </c>
      <c r="L22" s="450">
        <f t="shared" si="1"/>
        <v>25</v>
      </c>
      <c r="M22" s="303"/>
      <c r="N22" s="303"/>
    </row>
    <row r="23" spans="1:14" s="278" customFormat="1" ht="12.75" customHeight="1">
      <c r="A23" s="294">
        <v>19</v>
      </c>
      <c r="B23" s="295" t="s">
        <v>374</v>
      </c>
      <c r="C23" s="449"/>
      <c r="D23" s="450"/>
      <c r="E23" s="450"/>
      <c r="F23" s="303"/>
      <c r="G23" s="450"/>
      <c r="H23" s="450">
        <f t="shared" si="0"/>
        <v>0</v>
      </c>
      <c r="I23" s="450">
        <v>127</v>
      </c>
      <c r="J23" s="473"/>
      <c r="K23" s="450">
        <v>127</v>
      </c>
      <c r="L23" s="450">
        <f t="shared" si="1"/>
        <v>127</v>
      </c>
      <c r="M23" s="303"/>
      <c r="N23" s="303"/>
    </row>
    <row r="24" spans="1:14" s="278" customFormat="1" ht="12.75" customHeight="1">
      <c r="A24" s="294">
        <v>20</v>
      </c>
      <c r="B24" s="295" t="s">
        <v>354</v>
      </c>
      <c r="C24" s="449"/>
      <c r="D24" s="450"/>
      <c r="E24" s="450"/>
      <c r="F24" s="303"/>
      <c r="G24" s="450">
        <v>50669</v>
      </c>
      <c r="H24" s="450">
        <f t="shared" si="0"/>
        <v>50669</v>
      </c>
      <c r="I24" s="450"/>
      <c r="J24" s="473">
        <f t="shared" si="3"/>
        <v>0</v>
      </c>
      <c r="K24" s="450"/>
      <c r="L24" s="450">
        <f t="shared" si="1"/>
        <v>50669</v>
      </c>
      <c r="M24" s="303"/>
      <c r="N24" s="303"/>
    </row>
    <row r="25" spans="1:14" s="278" customFormat="1" ht="12.75" customHeight="1">
      <c r="A25" s="294">
        <v>21</v>
      </c>
      <c r="B25" s="295" t="s">
        <v>375</v>
      </c>
      <c r="C25" s="449"/>
      <c r="D25" s="450"/>
      <c r="E25" s="450"/>
      <c r="F25" s="303"/>
      <c r="G25" s="450"/>
      <c r="H25" s="450">
        <f t="shared" si="0"/>
        <v>0</v>
      </c>
      <c r="I25" s="450"/>
      <c r="J25" s="473"/>
      <c r="K25" s="450">
        <v>10000</v>
      </c>
      <c r="L25" s="450">
        <f t="shared" si="1"/>
        <v>10000</v>
      </c>
      <c r="M25" s="303"/>
      <c r="N25" s="303"/>
    </row>
    <row r="26" spans="1:14" s="278" customFormat="1" ht="12.75" customHeight="1">
      <c r="A26" s="294">
        <v>22</v>
      </c>
      <c r="B26" s="295" t="s">
        <v>326</v>
      </c>
      <c r="C26" s="449"/>
      <c r="D26" s="450"/>
      <c r="E26" s="450">
        <v>1500</v>
      </c>
      <c r="F26" s="303">
        <f t="shared" si="2"/>
        <v>1500</v>
      </c>
      <c r="G26" s="450"/>
      <c r="H26" s="450">
        <f t="shared" si="0"/>
        <v>1500</v>
      </c>
      <c r="I26" s="450"/>
      <c r="J26" s="473">
        <f t="shared" si="3"/>
        <v>0</v>
      </c>
      <c r="K26" s="450">
        <v>500</v>
      </c>
      <c r="L26" s="450">
        <f t="shared" si="1"/>
        <v>2000</v>
      </c>
      <c r="M26" s="303">
        <v>37315</v>
      </c>
      <c r="N26" s="303">
        <v>8411121</v>
      </c>
    </row>
    <row r="27" spans="1:14" s="278" customFormat="1" ht="12.75" customHeight="1" thickBot="1">
      <c r="A27" s="294">
        <v>23</v>
      </c>
      <c r="B27" s="295" t="s">
        <v>399</v>
      </c>
      <c r="C27" s="449"/>
      <c r="D27" s="450"/>
      <c r="E27" s="450"/>
      <c r="F27" s="303"/>
      <c r="G27" s="450"/>
      <c r="H27" s="450"/>
      <c r="I27" s="450"/>
      <c r="J27" s="473"/>
      <c r="K27" s="450">
        <v>400</v>
      </c>
      <c r="L27" s="450">
        <f t="shared" si="1"/>
        <v>400</v>
      </c>
      <c r="M27" s="303"/>
      <c r="N27" s="303"/>
    </row>
    <row r="28" spans="1:14" ht="24.75" customHeight="1" thickBot="1">
      <c r="A28" s="296"/>
      <c r="B28" s="297" t="s">
        <v>245</v>
      </c>
      <c r="C28" s="298">
        <f>SUM(C5:C19)</f>
        <v>0</v>
      </c>
      <c r="D28" s="299">
        <f>SUM(D5:D27)</f>
        <v>11870</v>
      </c>
      <c r="E28" s="299">
        <f aca="true" t="shared" si="4" ref="E28:L28">SUM(E5:E27)</f>
        <v>1754</v>
      </c>
      <c r="F28" s="299">
        <f t="shared" si="4"/>
        <v>13624</v>
      </c>
      <c r="G28" s="299">
        <f t="shared" si="4"/>
        <v>50669</v>
      </c>
      <c r="H28" s="299">
        <f t="shared" si="4"/>
        <v>64293</v>
      </c>
      <c r="I28" s="299">
        <f t="shared" si="4"/>
        <v>8258</v>
      </c>
      <c r="J28" s="299">
        <f t="shared" si="4"/>
        <v>11.85806480920654</v>
      </c>
      <c r="K28" s="299">
        <f t="shared" si="4"/>
        <v>10627</v>
      </c>
      <c r="L28" s="299">
        <f t="shared" si="4"/>
        <v>74920</v>
      </c>
      <c r="M28" s="299"/>
      <c r="N28" s="299"/>
    </row>
    <row r="29" spans="2:10" s="246" customFormat="1" ht="12.75">
      <c r="B29" s="280"/>
      <c r="J29" s="475"/>
    </row>
    <row r="30" spans="2:10" s="12" customFormat="1" ht="13.5" thickBot="1">
      <c r="B30" s="280"/>
      <c r="J30" s="477"/>
    </row>
    <row r="31" spans="1:14" s="278" customFormat="1" ht="12.75">
      <c r="A31" s="307">
        <v>1</v>
      </c>
      <c r="B31" s="308" t="s">
        <v>235</v>
      </c>
      <c r="C31" s="309"/>
      <c r="D31" s="310">
        <v>315</v>
      </c>
      <c r="E31" s="310"/>
      <c r="F31" s="310">
        <v>315</v>
      </c>
      <c r="G31" s="310"/>
      <c r="H31" s="310">
        <f>+F31+G31</f>
        <v>315</v>
      </c>
      <c r="I31" s="310">
        <f>82.2+54.8</f>
        <v>137</v>
      </c>
      <c r="J31" s="478">
        <f t="shared" si="3"/>
        <v>0.43492063492063493</v>
      </c>
      <c r="K31" s="310"/>
      <c r="L31" s="310">
        <f>+H31+K31</f>
        <v>315</v>
      </c>
      <c r="M31" s="310"/>
      <c r="N31" s="310"/>
    </row>
    <row r="32" spans="1:14" s="278" customFormat="1" ht="12.75">
      <c r="A32" s="291">
        <v>2</v>
      </c>
      <c r="B32" s="279" t="s">
        <v>240</v>
      </c>
      <c r="C32" s="286"/>
      <c r="D32" s="292">
        <v>6153</v>
      </c>
      <c r="E32" s="292"/>
      <c r="F32" s="292">
        <v>6153</v>
      </c>
      <c r="G32" s="292"/>
      <c r="H32" s="292">
        <f>+F32+G32</f>
        <v>6153</v>
      </c>
      <c r="I32" s="292"/>
      <c r="J32" s="472">
        <f t="shared" si="3"/>
        <v>0</v>
      </c>
      <c r="K32" s="292"/>
      <c r="L32" s="292">
        <f>+H32+K32</f>
        <v>6153</v>
      </c>
      <c r="M32" s="292"/>
      <c r="N32" s="292"/>
    </row>
    <row r="33" spans="1:14" s="278" customFormat="1" ht="13.5" thickBot="1">
      <c r="A33" s="304">
        <v>3</v>
      </c>
      <c r="B33" s="311" t="s">
        <v>241</v>
      </c>
      <c r="C33" s="312"/>
      <c r="D33" s="313">
        <v>3490</v>
      </c>
      <c r="E33" s="313"/>
      <c r="F33" s="313">
        <v>3490</v>
      </c>
      <c r="G33" s="313"/>
      <c r="H33" s="313">
        <f>+F33+G33</f>
        <v>3490</v>
      </c>
      <c r="I33" s="313"/>
      <c r="J33" s="479">
        <f t="shared" si="3"/>
        <v>0</v>
      </c>
      <c r="K33" s="313"/>
      <c r="L33" s="313">
        <f>+H33+K33</f>
        <v>3490</v>
      </c>
      <c r="M33" s="313"/>
      <c r="N33" s="313"/>
    </row>
    <row r="34" spans="1:14" ht="24.75" customHeight="1" thickBot="1">
      <c r="A34" s="296"/>
      <c r="B34" s="297" t="s">
        <v>246</v>
      </c>
      <c r="C34" s="298">
        <f>SUM(C28:C33)</f>
        <v>0</v>
      </c>
      <c r="D34" s="299">
        <f>SUM(D31:D33)</f>
        <v>9958</v>
      </c>
      <c r="E34" s="299">
        <f>SUM(E31:E33)</f>
        <v>0</v>
      </c>
      <c r="F34" s="299">
        <f>SUM(F31:F33)</f>
        <v>9958</v>
      </c>
      <c r="G34" s="299">
        <f>SUM(G31:G33)</f>
        <v>0</v>
      </c>
      <c r="H34" s="299">
        <f>+F34+G34</f>
        <v>9958</v>
      </c>
      <c r="I34" s="299">
        <f>SUM(I31:I33)</f>
        <v>137</v>
      </c>
      <c r="J34" s="474">
        <f t="shared" si="3"/>
        <v>0.013757782687286604</v>
      </c>
      <c r="K34" s="299">
        <f>SUM(K31:K33)</f>
        <v>0</v>
      </c>
      <c r="L34" s="299">
        <f>+H34+K34</f>
        <v>9958</v>
      </c>
      <c r="M34" s="299"/>
      <c r="N34" s="299"/>
    </row>
    <row r="35" ht="13.5" thickBot="1">
      <c r="J35" s="134"/>
    </row>
    <row r="36" spans="1:14" ht="24.75" customHeight="1" thickBot="1">
      <c r="A36" s="296"/>
      <c r="B36" s="297" t="s">
        <v>344</v>
      </c>
      <c r="C36" s="298"/>
      <c r="D36" s="299">
        <f>+D28+D34</f>
        <v>21828</v>
      </c>
      <c r="E36" s="299">
        <f>+E28+E34</f>
        <v>1754</v>
      </c>
      <c r="F36" s="299">
        <f>+F28+F34</f>
        <v>23582</v>
      </c>
      <c r="G36" s="299">
        <f>+G28+G34</f>
        <v>50669</v>
      </c>
      <c r="H36" s="299">
        <f>+F36+G36</f>
        <v>74251</v>
      </c>
      <c r="I36" s="299">
        <f>+I28+I34</f>
        <v>8395</v>
      </c>
      <c r="J36" s="474">
        <f t="shared" si="3"/>
        <v>0.1130624503373692</v>
      </c>
      <c r="K36" s="299">
        <f>+K28+K34</f>
        <v>10627</v>
      </c>
      <c r="L36" s="299">
        <f>+H36+K36</f>
        <v>84878</v>
      </c>
      <c r="M36" s="299"/>
      <c r="N36" s="299"/>
    </row>
  </sheetData>
  <printOptions horizontalCentered="1"/>
  <pageMargins left="0.4724409448818898" right="0.68" top="1.2598425196850394" bottom="0.984251968503937" header="0.5118110236220472" footer="0.5118110236220472"/>
  <pageSetup fitToHeight="1" fitToWidth="1" horizontalDpi="600" verticalDpi="600" orientation="landscape" paperSize="9" scale="66" r:id="rId1"/>
  <headerFooter alignWithMargins="0">
    <oddHeader>&amp;L8.sz.táblázat&amp;C&amp;"Arial,Félkövér"&amp;12Nagykovácsi Nagyközség Önkormányzatának 
2012.évi működési célú pénzeszköz átadási terve&amp;Radatok  eFt-ban</oddHeader>
    <oddFooter>&amp;L&amp;D&amp;C&amp;P&amp;R&amp;F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tothnecsilla</cp:lastModifiedBy>
  <cp:lastPrinted>2012-08-17T11:01:09Z</cp:lastPrinted>
  <dcterms:created xsi:type="dcterms:W3CDTF">2008-07-24T13:43:35Z</dcterms:created>
  <dcterms:modified xsi:type="dcterms:W3CDTF">2012-09-03T16:07:10Z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